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Logistics\თეკლას\EF-GE 506 Spare parts for draught units\"/>
    </mc:Choice>
  </mc:AlternateContent>
  <xr:revisionPtr revIDLastSave="0" documentId="13_ncr:1_{1B384A95-23C9-4D66-8426-BF811C1B0156}" xr6:coauthVersionLast="45" xr6:coauthVersionMax="45" xr10:uidLastSave="{00000000-0000-0000-0000-000000000000}"/>
  <bookViews>
    <workbookView xWindow="-120" yWindow="-120" windowWidth="29040" windowHeight="15840" xr2:uid="{35B5F60C-FF9B-4A0A-AFFE-4ABDDFF36488}"/>
  </bookViews>
  <sheets>
    <sheet name="Spare Parts" sheetId="6" r:id="rId1"/>
    <sheet name="Tower" sheetId="4" state="hidden" r:id="rId2"/>
    <sheet name="Table parasol trade" sheetId="3" state="hidden" r:id="rId3"/>
    <sheet name="Glasses" sheetId="2" state="hidden" r:id="rId4"/>
  </sheets>
  <definedNames>
    <definedName name="_xlnm._FilterDatabase" localSheetId="3" hidden="1">Glasses!$AP$1:$AP$48</definedName>
    <definedName name="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2" l="1"/>
  <c r="Y13" i="2" l="1"/>
  <c r="Z9" i="3" l="1"/>
  <c r="AC32" i="2" l="1"/>
  <c r="Y5" i="2"/>
  <c r="AC5" i="2" l="1"/>
  <c r="AD5" i="2"/>
  <c r="X5" i="2"/>
  <c r="AE5" i="2" l="1"/>
  <c r="AC13" i="2"/>
  <c r="X12" i="2"/>
  <c r="Y12" i="2"/>
  <c r="AC12" i="2" s="1"/>
  <c r="AD13" i="2"/>
  <c r="Y6" i="2"/>
  <c r="Y7" i="2"/>
  <c r="Y8" i="2"/>
  <c r="Y9" i="2"/>
  <c r="Y10" i="2"/>
  <c r="Y11" i="2"/>
  <c r="Y14" i="2"/>
  <c r="Y15" i="2"/>
  <c r="AC15" i="2" s="1"/>
  <c r="Y16" i="2"/>
  <c r="Y17" i="2"/>
  <c r="Y18" i="2"/>
  <c r="Y19" i="2"/>
  <c r="AC19" i="2" s="1"/>
  <c r="Y20" i="2"/>
  <c r="Y21" i="2"/>
  <c r="AD21" i="2" s="1"/>
  <c r="Y22" i="2"/>
  <c r="Y23" i="2"/>
  <c r="Y24" i="2"/>
  <c r="Y25" i="2"/>
  <c r="Y26" i="2"/>
  <c r="Y27" i="2"/>
  <c r="Y28" i="2"/>
  <c r="Y29" i="2"/>
  <c r="Y30" i="2"/>
  <c r="Y31" i="2"/>
  <c r="Y32" i="2"/>
  <c r="AE13" i="2" l="1"/>
  <c r="AD18" i="2"/>
  <c r="AC18" i="2"/>
  <c r="AF5" i="2"/>
  <c r="AP5" i="2"/>
  <c r="AC21" i="2"/>
  <c r="Y33" i="2"/>
  <c r="AC6" i="2"/>
  <c r="AE6" i="2" s="1"/>
  <c r="AP6" i="2" s="1"/>
  <c r="Y2" i="2"/>
  <c r="AD2" i="2"/>
  <c r="AC2" i="2"/>
  <c r="AD12" i="2"/>
  <c r="AE12" i="2" s="1"/>
  <c r="AP12" i="2" s="1"/>
  <c r="AL6" i="2"/>
  <c r="AM6" i="2"/>
  <c r="AL7" i="2"/>
  <c r="AM7" i="2"/>
  <c r="AL8" i="2"/>
  <c r="AM8" i="2"/>
  <c r="AL9" i="2"/>
  <c r="AM9" i="2"/>
  <c r="AL10" i="2"/>
  <c r="AM10" i="2"/>
  <c r="AL11" i="2"/>
  <c r="AM11" i="2"/>
  <c r="AL14" i="2"/>
  <c r="AM14" i="2"/>
  <c r="AL15" i="2"/>
  <c r="AM15" i="2"/>
  <c r="AL16" i="2"/>
  <c r="AM16" i="2"/>
  <c r="AL17" i="2"/>
  <c r="AM17" i="2"/>
  <c r="AL19" i="2"/>
  <c r="AM19" i="2"/>
  <c r="AL20" i="2"/>
  <c r="AM20" i="2"/>
  <c r="AL22" i="2"/>
  <c r="AM22" i="2"/>
  <c r="AL23" i="2"/>
  <c r="AM23" i="2"/>
  <c r="AL24" i="2"/>
  <c r="AM24" i="2"/>
  <c r="AL25" i="2"/>
  <c r="AM25" i="2"/>
  <c r="AL26" i="2"/>
  <c r="AM26" i="2"/>
  <c r="AL27" i="2"/>
  <c r="AM27" i="2"/>
  <c r="AL28" i="2"/>
  <c r="AM28" i="2"/>
  <c r="AL29" i="2"/>
  <c r="AM29" i="2"/>
  <c r="AL30" i="2"/>
  <c r="AM30" i="2"/>
  <c r="AL31" i="2"/>
  <c r="AM31" i="2"/>
  <c r="AL32" i="2"/>
  <c r="AM32" i="2"/>
  <c r="AK6" i="2"/>
  <c r="AK7" i="2"/>
  <c r="AK8" i="2"/>
  <c r="AK9" i="2"/>
  <c r="AK10" i="2"/>
  <c r="AK11" i="2"/>
  <c r="AK14" i="2"/>
  <c r="AK15" i="2"/>
  <c r="AK16" i="2"/>
  <c r="AK17" i="2"/>
  <c r="AK19" i="2"/>
  <c r="AK20" i="2"/>
  <c r="AK22" i="2"/>
  <c r="AK23" i="2"/>
  <c r="AK24" i="2"/>
  <c r="AK25" i="2"/>
  <c r="AK26" i="2"/>
  <c r="AK27" i="2"/>
  <c r="AK28" i="2"/>
  <c r="AK29" i="2"/>
  <c r="AK30" i="2"/>
  <c r="AK31" i="2"/>
  <c r="AK32" i="2"/>
  <c r="AE32" i="2"/>
  <c r="AP32" i="2" s="1"/>
  <c r="AE31" i="2"/>
  <c r="AP31" i="2" s="1"/>
  <c r="AE30" i="2"/>
  <c r="AP30" i="2" s="1"/>
  <c r="AE29" i="2"/>
  <c r="AP29" i="2" s="1"/>
  <c r="AE28" i="2"/>
  <c r="AP28" i="2" s="1"/>
  <c r="AE27" i="2"/>
  <c r="AP27" i="2" s="1"/>
  <c r="AE26" i="2"/>
  <c r="AP26" i="2" s="1"/>
  <c r="AE25" i="2"/>
  <c r="AP25" i="2" s="1"/>
  <c r="AE24" i="2"/>
  <c r="AP24" i="2" s="1"/>
  <c r="AE23" i="2"/>
  <c r="AP23" i="2" s="1"/>
  <c r="AE22" i="2"/>
  <c r="AP22" i="2" s="1"/>
  <c r="AE20" i="2"/>
  <c r="AP20" i="2" s="1"/>
  <c r="AE19" i="2"/>
  <c r="AP19" i="2" s="1"/>
  <c r="AE17" i="2"/>
  <c r="AP17" i="2" s="1"/>
  <c r="AE16" i="2"/>
  <c r="AP16" i="2" s="1"/>
  <c r="AE15" i="2"/>
  <c r="AP15" i="2" s="1"/>
  <c r="AE14" i="2"/>
  <c r="AP14" i="2" s="1"/>
  <c r="AE11" i="2"/>
  <c r="AP11" i="2" s="1"/>
  <c r="AE10" i="2"/>
  <c r="AP10" i="2" s="1"/>
  <c r="AE9" i="2"/>
  <c r="AP9" i="2" s="1"/>
  <c r="AE8" i="2"/>
  <c r="AP8" i="2" s="1"/>
  <c r="AH6" i="2"/>
  <c r="AH7" i="2"/>
  <c r="AH8" i="2"/>
  <c r="AH9" i="2"/>
  <c r="AH10" i="2"/>
  <c r="AH11" i="2"/>
  <c r="AH15" i="2"/>
  <c r="AH16" i="2"/>
  <c r="AH17" i="2"/>
  <c r="AH19" i="2"/>
  <c r="AH20" i="2"/>
  <c r="AH22" i="2"/>
  <c r="AH23" i="2"/>
  <c r="AH24" i="2"/>
  <c r="AH25" i="2"/>
  <c r="AH26" i="2"/>
  <c r="AH27" i="2"/>
  <c r="AH28" i="2"/>
  <c r="AH29" i="2"/>
  <c r="AH30" i="2"/>
  <c r="AH31" i="2"/>
  <c r="AH32" i="2"/>
  <c r="AG6" i="2"/>
  <c r="AG7" i="2"/>
  <c r="AG8" i="2"/>
  <c r="AG9" i="2"/>
  <c r="AG10" i="2"/>
  <c r="AG11" i="2"/>
  <c r="AG15" i="2"/>
  <c r="AG16" i="2"/>
  <c r="AG17" i="2"/>
  <c r="AG19" i="2"/>
  <c r="AG20" i="2"/>
  <c r="AG22" i="2"/>
  <c r="AG23" i="2"/>
  <c r="AG24" i="2"/>
  <c r="AG25" i="2"/>
  <c r="AI25" i="2" s="1"/>
  <c r="AG26" i="2"/>
  <c r="AG27" i="2"/>
  <c r="AG28" i="2"/>
  <c r="AI28" i="2" s="1"/>
  <c r="AG29" i="2"/>
  <c r="AG30" i="2"/>
  <c r="AG31" i="2"/>
  <c r="AG32" i="2"/>
  <c r="AI17" i="2" l="1"/>
  <c r="AI32" i="2"/>
  <c r="AI24" i="2"/>
  <c r="AI27" i="2"/>
  <c r="AI29" i="2"/>
  <c r="AI20" i="2"/>
  <c r="AI26" i="2"/>
  <c r="AI16" i="2"/>
  <c r="AC33" i="2"/>
  <c r="AD33" i="2"/>
  <c r="AK33" i="2" s="1"/>
  <c r="AI31" i="2"/>
  <c r="AI10" i="2"/>
  <c r="AI23" i="2"/>
  <c r="AI30" i="2"/>
  <c r="AI22" i="2"/>
  <c r="AI8" i="2"/>
  <c r="AI6" i="2"/>
  <c r="AI9" i="2"/>
  <c r="AI19" i="2"/>
  <c r="AI15" i="2"/>
  <c r="AI11" i="2"/>
  <c r="AI7" i="2"/>
  <c r="Z21" i="2"/>
  <c r="AL33" i="2" l="1"/>
  <c r="AM33" i="2"/>
  <c r="AN33" i="2" s="1"/>
  <c r="K21" i="2"/>
  <c r="J34" i="2" s="1"/>
  <c r="AA20" i="2"/>
  <c r="AA19" i="2"/>
  <c r="AA17" i="2"/>
  <c r="AA16" i="2"/>
  <c r="AA15" i="2"/>
  <c r="Z14" i="2"/>
  <c r="AA14" i="2" s="1"/>
  <c r="I34" i="2" l="1"/>
  <c r="AH14" i="2"/>
  <c r="AG14" i="2"/>
  <c r="X31" i="2"/>
  <c r="X29" i="2"/>
  <c r="X28" i="2"/>
  <c r="X27" i="2"/>
  <c r="X26" i="2"/>
  <c r="X25" i="2"/>
  <c r="X24" i="2"/>
  <c r="X21" i="2"/>
  <c r="X20" i="2"/>
  <c r="X19" i="2"/>
  <c r="V17" i="2"/>
  <c r="X17" i="2" s="1"/>
  <c r="X16" i="2"/>
  <c r="X15" i="2"/>
  <c r="X14" i="2"/>
  <c r="X13" i="2"/>
  <c r="X11" i="2"/>
  <c r="X10" i="2"/>
  <c r="X9" i="2"/>
  <c r="X7" i="2"/>
  <c r="V8" i="2"/>
  <c r="X8" i="2" s="1"/>
  <c r="V22" i="2"/>
  <c r="X22" i="2" s="1"/>
  <c r="V23" i="2"/>
  <c r="X23" i="2" s="1"/>
  <c r="V30" i="2"/>
  <c r="X30" i="2" s="1"/>
  <c r="V6" i="2"/>
  <c r="X6" i="2" s="1"/>
  <c r="V32" i="2"/>
  <c r="X32" i="2" s="1"/>
  <c r="AI14" i="2" l="1"/>
  <c r="AG21" i="2"/>
  <c r="V18" i="2"/>
  <c r="X18" i="2" s="1"/>
  <c r="D7" i="6"/>
  <c r="D8" i="6"/>
  <c r="AA21" i="2"/>
  <c r="T33" i="2"/>
  <c r="Z18" i="2"/>
  <c r="AA18" i="2" s="1"/>
  <c r="Z13" i="2"/>
  <c r="AA13" i="2" s="1"/>
  <c r="Z12" i="2"/>
  <c r="AE7" i="2"/>
  <c r="Z5" i="2"/>
  <c r="F12" i="2"/>
  <c r="F13" i="2"/>
  <c r="F5" i="2"/>
  <c r="F18" i="2"/>
  <c r="F14" i="2"/>
  <c r="X24" i="3"/>
  <c r="AC15" i="3"/>
  <c r="AF15" i="3"/>
  <c r="AE15" i="3"/>
  <c r="AD15" i="3"/>
  <c r="AG15" i="3" s="1"/>
  <c r="AF9" i="3"/>
  <c r="AF19" i="3" s="1"/>
  <c r="AE9" i="3"/>
  <c r="AD9" i="3"/>
  <c r="AC9" i="3"/>
  <c r="AD5" i="3"/>
  <c r="AE5" i="3"/>
  <c r="AC5" i="3"/>
  <c r="AC19" i="3" s="1"/>
  <c r="X4" i="3"/>
  <c r="X8" i="3"/>
  <c r="Z18" i="3"/>
  <c r="Y18" i="3" s="1"/>
  <c r="Z17" i="3"/>
  <c r="Y17" i="3" s="1"/>
  <c r="Z16" i="3"/>
  <c r="Y16" i="3" s="1"/>
  <c r="Z15" i="3"/>
  <c r="Y15" i="3" s="1"/>
  <c r="Z14" i="3"/>
  <c r="Y14" i="3" s="1"/>
  <c r="Z13" i="3"/>
  <c r="Y13" i="3" s="1"/>
  <c r="Z12" i="3"/>
  <c r="Y12" i="3" s="1"/>
  <c r="Z11" i="3"/>
  <c r="Y11" i="3" s="1"/>
  <c r="Z10" i="3"/>
  <c r="Y10" i="3" s="1"/>
  <c r="Y9" i="3"/>
  <c r="Z7" i="3"/>
  <c r="Z6" i="3"/>
  <c r="Z5" i="3"/>
  <c r="Y5" i="3" s="1"/>
  <c r="Y4" i="3" s="1"/>
  <c r="AG18" i="3"/>
  <c r="AG17" i="3"/>
  <c r="AG16" i="3"/>
  <c r="AG14" i="3"/>
  <c r="AG13" i="3"/>
  <c r="AG12" i="3"/>
  <c r="AG11" i="3"/>
  <c r="AG10" i="3"/>
  <c r="AG8" i="3"/>
  <c r="AG7" i="3"/>
  <c r="U5" i="4"/>
  <c r="W38" i="4"/>
  <c r="U34" i="4"/>
  <c r="T34" i="4"/>
  <c r="V33" i="4"/>
  <c r="V32" i="4"/>
  <c r="V31" i="4"/>
  <c r="V30" i="4"/>
  <c r="U17" i="4"/>
  <c r="T17" i="4"/>
  <c r="V16" i="4"/>
  <c r="X16" i="4" s="1"/>
  <c r="V15" i="4"/>
  <c r="X15" i="4" s="1"/>
  <c r="V14" i="4"/>
  <c r="X14" i="4" s="1"/>
  <c r="V13" i="4"/>
  <c r="X25" i="4"/>
  <c r="X24" i="4"/>
  <c r="X23" i="4"/>
  <c r="X22" i="4"/>
  <c r="W25" i="4"/>
  <c r="V25" i="4"/>
  <c r="U25" i="4"/>
  <c r="W24" i="4"/>
  <c r="V24" i="4"/>
  <c r="U24" i="4"/>
  <c r="W23" i="4"/>
  <c r="V23" i="4"/>
  <c r="U23" i="4"/>
  <c r="U22" i="4"/>
  <c r="V22" i="4"/>
  <c r="W22" i="4"/>
  <c r="W8" i="4"/>
  <c r="T6" i="4"/>
  <c r="V6" i="4"/>
  <c r="J22" i="4"/>
  <c r="T26" i="4"/>
  <c r="S26" i="4"/>
  <c r="V17" i="4" l="1"/>
  <c r="AE19" i="3"/>
  <c r="AD19" i="3"/>
  <c r="AA5" i="2"/>
  <c r="AH5" i="2"/>
  <c r="AG9" i="3"/>
  <c r="AA12" i="2"/>
  <c r="AG12" i="2"/>
  <c r="X26" i="4"/>
  <c r="X20" i="3"/>
  <c r="Y8" i="3"/>
  <c r="Y20" i="3" s="1"/>
  <c r="AP7" i="2"/>
  <c r="AE2" i="2"/>
  <c r="AF2" i="2" s="1"/>
  <c r="AG5" i="3"/>
  <c r="AG19" i="3" s="1"/>
  <c r="AL13" i="2"/>
  <c r="AM13" i="2"/>
  <c r="AH13" i="2"/>
  <c r="AP13" i="2"/>
  <c r="AK13" i="2"/>
  <c r="AH12" i="2"/>
  <c r="AL12" i="2"/>
  <c r="AK12" i="2"/>
  <c r="AM12" i="2"/>
  <c r="AG13" i="2"/>
  <c r="AG5" i="2"/>
  <c r="AM21" i="2"/>
  <c r="AK21" i="2"/>
  <c r="AL21" i="2"/>
  <c r="AH21" i="2"/>
  <c r="AI21" i="2" s="1"/>
  <c r="AE21" i="2"/>
  <c r="AP21" i="2" s="1"/>
  <c r="AK5" i="2"/>
  <c r="AL5" i="2"/>
  <c r="AM5" i="2"/>
  <c r="AG18" i="2"/>
  <c r="V34" i="4"/>
  <c r="X13" i="4"/>
  <c r="X17" i="4" s="1"/>
  <c r="AG33" i="2" l="1"/>
  <c r="AI12" i="2"/>
  <c r="AI5" i="2"/>
  <c r="AK18" i="2"/>
  <c r="AM18" i="2"/>
  <c r="AE18" i="2"/>
  <c r="AL18" i="2"/>
  <c r="AH18" i="2"/>
  <c r="AH33" i="2" s="1"/>
  <c r="AI13" i="2"/>
  <c r="AE33" i="2" l="1"/>
  <c r="AD36" i="2" s="1"/>
  <c r="AP18" i="2"/>
  <c r="AI18" i="2"/>
  <c r="AI33" i="2" s="1"/>
  <c r="W26" i="4"/>
  <c r="V26" i="4"/>
  <c r="U6" i="4"/>
  <c r="U8" i="4" s="1"/>
  <c r="U9" i="4" s="1"/>
  <c r="V5" i="4"/>
  <c r="V8" i="4" s="1"/>
  <c r="V9" i="4" s="1"/>
  <c r="T5" i="4"/>
  <c r="T8" i="4" s="1"/>
  <c r="T9" i="4" s="1"/>
  <c r="AC36" i="2" l="1"/>
  <c r="F6" i="4"/>
  <c r="K6" i="2" l="1"/>
  <c r="U6" i="2" l="1"/>
  <c r="K5" i="2"/>
  <c r="C5" i="2" l="1"/>
  <c r="G5" i="2" s="1"/>
  <c r="U5" i="2"/>
  <c r="C20" i="3"/>
  <c r="Q5" i="3" l="1"/>
  <c r="M5" i="3"/>
  <c r="O5" i="3"/>
  <c r="B34" i="4" l="1"/>
  <c r="K20" i="2" l="1"/>
  <c r="U20" i="2" s="1"/>
  <c r="N20" i="2"/>
  <c r="M20" i="2"/>
  <c r="O20" i="2" l="1"/>
  <c r="C20" i="2"/>
  <c r="K18" i="2"/>
  <c r="C18" i="2" l="1"/>
  <c r="U18" i="2"/>
  <c r="G20" i="2"/>
  <c r="C46" i="2"/>
  <c r="C47" i="2"/>
  <c r="C38" i="2"/>
  <c r="C39" i="2"/>
  <c r="C40" i="2"/>
  <c r="C41" i="2"/>
  <c r="C42" i="2"/>
  <c r="C43" i="2"/>
  <c r="C44" i="2"/>
  <c r="C45" i="2"/>
  <c r="C37" i="2"/>
  <c r="C48" i="2" l="1"/>
  <c r="D10" i="6" l="1"/>
  <c r="D3" i="6" l="1"/>
  <c r="E3" i="6" s="1"/>
  <c r="D12" i="6" l="1"/>
  <c r="E12" i="6" s="1"/>
  <c r="E10" i="6"/>
  <c r="D9" i="6"/>
  <c r="E9" i="6" s="1"/>
  <c r="E8" i="6"/>
  <c r="D6" i="6"/>
  <c r="E6" i="6" s="1"/>
  <c r="E4" i="6"/>
  <c r="D31" i="4"/>
  <c r="D32" i="4"/>
  <c r="D33" i="4"/>
  <c r="D30" i="4"/>
  <c r="C34" i="4"/>
  <c r="D34" i="4" s="1"/>
  <c r="H26" i="4"/>
  <c r="C17" i="4"/>
  <c r="B17" i="4"/>
  <c r="D16" i="4"/>
  <c r="F16" i="4" s="1"/>
  <c r="D15" i="4"/>
  <c r="F15" i="4" s="1"/>
  <c r="D14" i="4"/>
  <c r="F14" i="4" s="1"/>
  <c r="D13" i="4"/>
  <c r="D17" i="4" l="1"/>
  <c r="E7" i="6"/>
  <c r="D5" i="6"/>
  <c r="E5" i="6" s="1"/>
  <c r="D11" i="6"/>
  <c r="E11" i="6" s="1"/>
  <c r="F13" i="4"/>
  <c r="F17" i="4" s="1"/>
  <c r="L22" i="4" l="1"/>
  <c r="M9" i="3" l="1"/>
  <c r="M19" i="3"/>
  <c r="M18" i="3"/>
  <c r="M17" i="3"/>
  <c r="M16" i="3"/>
  <c r="M15" i="3"/>
  <c r="M14" i="3"/>
  <c r="M13" i="3"/>
  <c r="M12" i="3"/>
  <c r="M11" i="3"/>
  <c r="M10" i="3"/>
  <c r="M8" i="3"/>
  <c r="M7" i="3"/>
  <c r="M6" i="3"/>
  <c r="J26" i="4"/>
  <c r="M25" i="4"/>
  <c r="M24" i="4"/>
  <c r="M23" i="4"/>
  <c r="L26" i="4"/>
  <c r="K22" i="4"/>
  <c r="F5" i="4"/>
  <c r="E38" i="4"/>
  <c r="E26" i="4"/>
  <c r="D26" i="4"/>
  <c r="F24" i="4"/>
  <c r="F22" i="4"/>
  <c r="L20" i="3" l="1"/>
  <c r="M20" i="3"/>
  <c r="I20" i="3"/>
  <c r="J20" i="3"/>
  <c r="K20" i="3"/>
  <c r="K26" i="4"/>
  <c r="M22" i="4"/>
  <c r="K27" i="4" s="1"/>
  <c r="L28" i="4"/>
  <c r="J28" i="4"/>
  <c r="K28" i="4"/>
  <c r="O24" i="4"/>
  <c r="F23" i="4"/>
  <c r="O23" i="4" s="1"/>
  <c r="F25" i="4"/>
  <c r="C26" i="4"/>
  <c r="F26" i="4" s="1"/>
  <c r="O25" i="4" l="1"/>
  <c r="C27" i="4"/>
  <c r="E27" i="4"/>
  <c r="F27" i="4"/>
  <c r="D27" i="4"/>
  <c r="J27" i="4"/>
  <c r="L27" i="4"/>
  <c r="O22" i="4"/>
  <c r="O26" i="4" s="1"/>
  <c r="M26" i="4"/>
  <c r="H5" i="4" l="1"/>
  <c r="R19" i="3"/>
  <c r="R18" i="3"/>
  <c r="R17" i="3"/>
  <c r="R16" i="3"/>
  <c r="R14" i="3"/>
  <c r="R13" i="3"/>
  <c r="R12" i="3"/>
  <c r="R11" i="3"/>
  <c r="R10" i="3"/>
  <c r="R9" i="3"/>
  <c r="R7" i="3"/>
  <c r="R5" i="3"/>
  <c r="R31" i="3" l="1"/>
  <c r="Q31" i="3"/>
  <c r="H6" i="4" l="1"/>
  <c r="F7" i="4"/>
  <c r="E8" i="4"/>
  <c r="D8" i="4"/>
  <c r="C8" i="4"/>
  <c r="H7" i="4" l="1"/>
  <c r="I6" i="4"/>
  <c r="H8" i="4"/>
  <c r="I8" i="4" s="1"/>
  <c r="F8" i="4"/>
  <c r="C9" i="4" s="1"/>
  <c r="R24" i="3"/>
  <c r="Q19" i="3"/>
  <c r="P19" i="3"/>
  <c r="O19" i="3"/>
  <c r="P18" i="3"/>
  <c r="Q18" i="3"/>
  <c r="Q17" i="3"/>
  <c r="P17" i="3"/>
  <c r="O17" i="3"/>
  <c r="P16" i="3"/>
  <c r="Q16" i="3"/>
  <c r="O16" i="3"/>
  <c r="G15" i="3"/>
  <c r="R15" i="3" s="1"/>
  <c r="O14" i="3"/>
  <c r="Q14" i="3"/>
  <c r="P13" i="3"/>
  <c r="O13" i="3"/>
  <c r="Q13" i="3"/>
  <c r="Q12" i="3"/>
  <c r="P12" i="3"/>
  <c r="O12" i="3"/>
  <c r="Q11" i="3"/>
  <c r="P11" i="3"/>
  <c r="O11" i="3"/>
  <c r="P10" i="3"/>
  <c r="O10" i="3"/>
  <c r="Q10" i="3"/>
  <c r="Q9" i="3"/>
  <c r="P9" i="3"/>
  <c r="O9" i="3"/>
  <c r="P7" i="3"/>
  <c r="O7" i="3"/>
  <c r="Q7" i="3"/>
  <c r="G6" i="3"/>
  <c r="P5" i="3"/>
  <c r="D9" i="4" l="1"/>
  <c r="S20" i="3"/>
  <c r="E9" i="4"/>
  <c r="P6" i="3"/>
  <c r="P8" i="3" s="1"/>
  <c r="R6" i="3"/>
  <c r="R8" i="3" s="1"/>
  <c r="P15" i="3"/>
  <c r="R20" i="3"/>
  <c r="O6" i="3"/>
  <c r="O8" i="3" s="1"/>
  <c r="Q6" i="3"/>
  <c r="Q8" i="3" s="1"/>
  <c r="P14" i="3"/>
  <c r="O15" i="3"/>
  <c r="Q15" i="3"/>
  <c r="Q20" i="3" s="1"/>
  <c r="O18" i="3"/>
  <c r="P20" i="3" l="1"/>
  <c r="T20" i="3"/>
  <c r="P23" i="3"/>
  <c r="P24" i="3" s="1"/>
  <c r="Q23" i="3"/>
  <c r="Q24" i="3" s="1"/>
  <c r="O20" i="3"/>
  <c r="O23" i="3" s="1"/>
  <c r="O24" i="3" l="1"/>
  <c r="R23" i="3"/>
  <c r="R25" i="3" s="1"/>
  <c r="J33" i="2" l="1"/>
  <c r="I33" i="2"/>
  <c r="B33" i="2"/>
  <c r="N32" i="2"/>
  <c r="K32" i="2"/>
  <c r="U32" i="2" s="1"/>
  <c r="N31" i="2"/>
  <c r="M31" i="2"/>
  <c r="K31" i="2"/>
  <c r="U31" i="2" s="1"/>
  <c r="N30" i="2"/>
  <c r="M30" i="2"/>
  <c r="K30" i="2"/>
  <c r="U30" i="2" s="1"/>
  <c r="N29" i="2"/>
  <c r="M29" i="2"/>
  <c r="K29" i="2"/>
  <c r="U29" i="2" s="1"/>
  <c r="N28" i="2"/>
  <c r="M28" i="2"/>
  <c r="K28" i="2"/>
  <c r="U28" i="2" s="1"/>
  <c r="N27" i="2"/>
  <c r="M27" i="2"/>
  <c r="K27" i="2"/>
  <c r="U27" i="2" s="1"/>
  <c r="N26" i="2"/>
  <c r="M26" i="2"/>
  <c r="K26" i="2"/>
  <c r="U26" i="2" s="1"/>
  <c r="N25" i="2"/>
  <c r="M25" i="2"/>
  <c r="K25" i="2"/>
  <c r="U25" i="2" s="1"/>
  <c r="N24" i="2"/>
  <c r="M24" i="2"/>
  <c r="K24" i="2"/>
  <c r="U24" i="2" s="1"/>
  <c r="N23" i="2"/>
  <c r="M23" i="2"/>
  <c r="K23" i="2"/>
  <c r="U23" i="2" s="1"/>
  <c r="N22" i="2"/>
  <c r="M22" i="2"/>
  <c r="K22" i="2"/>
  <c r="U22" i="2" s="1"/>
  <c r="N21" i="2"/>
  <c r="M21" i="2"/>
  <c r="U21" i="2"/>
  <c r="N19" i="2"/>
  <c r="M19" i="2"/>
  <c r="K19" i="2"/>
  <c r="U19" i="2" s="1"/>
  <c r="N18" i="2"/>
  <c r="M18" i="2"/>
  <c r="N17" i="2"/>
  <c r="M17" i="2"/>
  <c r="K17" i="2"/>
  <c r="U17" i="2" s="1"/>
  <c r="N16" i="2"/>
  <c r="M16" i="2"/>
  <c r="K16" i="2"/>
  <c r="U16" i="2" s="1"/>
  <c r="N15" i="2"/>
  <c r="M15" i="2"/>
  <c r="K15" i="2"/>
  <c r="U15" i="2" s="1"/>
  <c r="N14" i="2"/>
  <c r="M14" i="2"/>
  <c r="K14" i="2"/>
  <c r="U14" i="2" s="1"/>
  <c r="N13" i="2"/>
  <c r="M13" i="2"/>
  <c r="N12" i="2"/>
  <c r="M12" i="2"/>
  <c r="K12" i="2"/>
  <c r="N11" i="2"/>
  <c r="M11" i="2"/>
  <c r="K11" i="2"/>
  <c r="U11" i="2" s="1"/>
  <c r="N10" i="2"/>
  <c r="M10" i="2"/>
  <c r="K10" i="2"/>
  <c r="U10" i="2" s="1"/>
  <c r="N9" i="2"/>
  <c r="M9" i="2"/>
  <c r="K9" i="2"/>
  <c r="U9" i="2" s="1"/>
  <c r="N8" i="2"/>
  <c r="M8" i="2"/>
  <c r="K8" i="2"/>
  <c r="N7" i="2"/>
  <c r="M7" i="2"/>
  <c r="K7" i="2"/>
  <c r="N6" i="2"/>
  <c r="M6" i="2"/>
  <c r="C6" i="2"/>
  <c r="N5" i="2"/>
  <c r="M5" i="2"/>
  <c r="U12" i="2" l="1"/>
  <c r="K34" i="2"/>
  <c r="O32" i="2"/>
  <c r="AA6" i="2"/>
  <c r="U7" i="2"/>
  <c r="C13" i="2"/>
  <c r="G13" i="2" s="1"/>
  <c r="U13" i="2"/>
  <c r="C8" i="2"/>
  <c r="AA8" i="2" s="1"/>
  <c r="U8" i="2"/>
  <c r="C23" i="2"/>
  <c r="C31" i="2"/>
  <c r="C17" i="2"/>
  <c r="C12" i="2"/>
  <c r="G12" i="2" s="1"/>
  <c r="C7" i="2"/>
  <c r="C24" i="2"/>
  <c r="C32" i="2"/>
  <c r="C10" i="2"/>
  <c r="C27" i="2"/>
  <c r="C22" i="2"/>
  <c r="C30" i="2"/>
  <c r="C9" i="2"/>
  <c r="C26" i="2"/>
  <c r="C21" i="2"/>
  <c r="G21" i="2" s="1"/>
  <c r="C16" i="2"/>
  <c r="C25" i="2"/>
  <c r="G6" i="2"/>
  <c r="C14" i="2"/>
  <c r="C29" i="2"/>
  <c r="C15" i="2"/>
  <c r="C11" i="2"/>
  <c r="C19" i="2"/>
  <c r="C28" i="2"/>
  <c r="G18" i="2"/>
  <c r="O30" i="2"/>
  <c r="O31" i="2"/>
  <c r="M33" i="2"/>
  <c r="O12" i="2"/>
  <c r="O17" i="2"/>
  <c r="O23" i="2"/>
  <c r="O10" i="2"/>
  <c r="O21" i="2"/>
  <c r="O27" i="2"/>
  <c r="O14" i="2"/>
  <c r="O25" i="2"/>
  <c r="O29" i="2"/>
  <c r="O8" i="2"/>
  <c r="O18" i="2"/>
  <c r="O11" i="2"/>
  <c r="O16" i="2"/>
  <c r="O9" i="2"/>
  <c r="O7" i="2"/>
  <c r="O19" i="2"/>
  <c r="O26" i="2"/>
  <c r="O28" i="2"/>
  <c r="N33" i="2"/>
  <c r="O13" i="2"/>
  <c r="O15" i="2"/>
  <c r="O6" i="2"/>
  <c r="O22" i="2"/>
  <c r="O24" i="2"/>
  <c r="O5" i="2"/>
  <c r="K33" i="2"/>
  <c r="U33" i="2" l="1"/>
  <c r="G29" i="2"/>
  <c r="AA29" i="2"/>
  <c r="G16" i="2"/>
  <c r="G7" i="2"/>
  <c r="AA7" i="2"/>
  <c r="G19" i="2"/>
  <c r="G8" i="2"/>
  <c r="G30" i="2"/>
  <c r="AA30" i="2"/>
  <c r="G10" i="2"/>
  <c r="AA10" i="2"/>
  <c r="G14" i="2"/>
  <c r="G11" i="2"/>
  <c r="AA11" i="2"/>
  <c r="G22" i="2"/>
  <c r="AA22" i="2"/>
  <c r="G32" i="2"/>
  <c r="AA32" i="2"/>
  <c r="G17" i="2"/>
  <c r="G28" i="2"/>
  <c r="AA28" i="2"/>
  <c r="G9" i="2"/>
  <c r="AA9" i="2"/>
  <c r="G27" i="2"/>
  <c r="AA27" i="2"/>
  <c r="G23" i="2"/>
  <c r="AA23" i="2"/>
  <c r="G15" i="2"/>
  <c r="G25" i="2"/>
  <c r="AA25" i="2"/>
  <c r="G26" i="2"/>
  <c r="AA26" i="2"/>
  <c r="G24" i="2"/>
  <c r="AA24" i="2"/>
  <c r="G31" i="2"/>
  <c r="AA31" i="2"/>
  <c r="C33" i="2"/>
  <c r="O33" i="2"/>
  <c r="G33" i="2" l="1"/>
  <c r="O35" i="2" s="1"/>
  <c r="AA33" i="2"/>
  <c r="AI34" i="2" s="1"/>
  <c r="U26" i="4" l="1"/>
</calcChain>
</file>

<file path=xl/sharedStrings.xml><?xml version="1.0" encoding="utf-8"?>
<sst xmlns="http://schemas.openxmlformats.org/spreadsheetml/2006/main" count="356" uniqueCount="163">
  <si>
    <t>(SALES) Furniture Packs</t>
  </si>
  <si>
    <t>Wooden Table Set Natakhtari</t>
  </si>
  <si>
    <t>Plastic Table Set "Natakhtari"</t>
  </si>
  <si>
    <t>(SALES) Parasols</t>
  </si>
  <si>
    <t>4 Meter Parasols "Natakhtari"</t>
  </si>
  <si>
    <t>Staropramen 4*4</t>
  </si>
  <si>
    <t>Karva 4*4</t>
  </si>
  <si>
    <t>Lowenbrau 4*4</t>
  </si>
  <si>
    <t>Leffe 4*4</t>
  </si>
  <si>
    <t>Stella</t>
  </si>
  <si>
    <t>3 Meter Parasol</t>
  </si>
  <si>
    <t>Corona 2.5*2.5</t>
  </si>
  <si>
    <t>1.8 Meter Parasol</t>
  </si>
  <si>
    <t>Natakhtari black (tents only)</t>
  </si>
  <si>
    <t>Name</t>
  </si>
  <si>
    <t>Q-ty</t>
  </si>
  <si>
    <t>Amount</t>
  </si>
  <si>
    <t>GEL</t>
  </si>
  <si>
    <t>USD</t>
  </si>
  <si>
    <t>(MARK) Outlet Branding &amp; Trade Marketing</t>
  </si>
  <si>
    <t>pegas project</t>
  </si>
  <si>
    <t>plastic stand for promotion</t>
  </si>
  <si>
    <t>stand with price for road</t>
  </si>
  <si>
    <t>draft stands</t>
  </si>
  <si>
    <t>Lightboxes</t>
  </si>
  <si>
    <t>Natakhtari</t>
  </si>
  <si>
    <t>Brand</t>
  </si>
  <si>
    <t>stock q-ty</t>
  </si>
  <si>
    <t>2020 order</t>
  </si>
  <si>
    <t>Average price</t>
  </si>
  <si>
    <t>2020 value</t>
  </si>
  <si>
    <t>Trade q-ty</t>
  </si>
  <si>
    <t xml:space="preserve"> Sales q-ty</t>
  </si>
  <si>
    <t>Total</t>
  </si>
  <si>
    <t>Trade value</t>
  </si>
  <si>
    <t xml:space="preserve"> Sales value</t>
  </si>
  <si>
    <t>Natakhtari 0.5 glass</t>
  </si>
  <si>
    <t>Natakhtari 0.5 glass rugby</t>
  </si>
  <si>
    <t>Natakhtari plastic glass</t>
  </si>
  <si>
    <t>Natakhtari 0.4 mug</t>
  </si>
  <si>
    <t>Natakhtari thermo ink</t>
  </si>
  <si>
    <t>Natakhtari real georgian</t>
  </si>
  <si>
    <t>KARVA</t>
  </si>
  <si>
    <t>KASRIS</t>
  </si>
  <si>
    <t>STAROPRAMEN 0.5 glass</t>
  </si>
  <si>
    <t>STAROPRAMEN 0.3 glass</t>
  </si>
  <si>
    <t>STAROPRAMEN 0.5 mug</t>
  </si>
  <si>
    <t>STAROPRAMEN plastic glass</t>
  </si>
  <si>
    <t>LOWENBRAU 0.3 glass</t>
  </si>
  <si>
    <t>LOWENBRAU 0.5 glass</t>
  </si>
  <si>
    <t>LOWENBRAU 0.5 mug</t>
  </si>
  <si>
    <t>EFES 0.5</t>
  </si>
  <si>
    <t>Stella 0.4 glass</t>
  </si>
  <si>
    <t>Stella 0.33 glass</t>
  </si>
  <si>
    <t>Hoegaarden 0.5</t>
  </si>
  <si>
    <t>Hoegaarden 0.33</t>
  </si>
  <si>
    <t>Leffe 0.5</t>
  </si>
  <si>
    <t>Leffe 0.33</t>
  </si>
  <si>
    <t>Franziskaner 0.4</t>
  </si>
  <si>
    <t>Franziskaner 0.5</t>
  </si>
  <si>
    <t>Becks 0.4</t>
  </si>
  <si>
    <t>Shpaten 0.4</t>
  </si>
  <si>
    <t>CSD</t>
  </si>
  <si>
    <t>tbilisi</t>
  </si>
  <si>
    <t>east</t>
  </si>
  <si>
    <t>west</t>
  </si>
  <si>
    <t>ავეჯის კომპლექტი «Brussels» (მაგიდა М190-2+4 სკამი М183-2), ბადე 2х1</t>
  </si>
  <si>
    <t>beach bads</t>
  </si>
  <si>
    <t>Total q-ty</t>
  </si>
  <si>
    <t>Q-TY</t>
  </si>
  <si>
    <t>New tower split by region</t>
  </si>
  <si>
    <t>Tbilisi</t>
  </si>
  <si>
    <t>East</t>
  </si>
  <si>
    <t>West</t>
  </si>
  <si>
    <t>Import Brands</t>
  </si>
  <si>
    <t>total</t>
  </si>
  <si>
    <t>abi brands</t>
  </si>
  <si>
    <t>local brands</t>
  </si>
  <si>
    <t>efes</t>
  </si>
  <si>
    <t>staro lowen</t>
  </si>
  <si>
    <t>amount will be spend</t>
  </si>
  <si>
    <t>Alphan</t>
  </si>
  <si>
    <t>price</t>
  </si>
  <si>
    <t>will be used in parasols</t>
  </si>
  <si>
    <t>(SALES) Towers budget</t>
  </si>
  <si>
    <t xml:space="preserve">pegas </t>
  </si>
  <si>
    <t>total value</t>
  </si>
  <si>
    <t>brands</t>
  </si>
  <si>
    <t>type</t>
  </si>
  <si>
    <t>s</t>
  </si>
  <si>
    <t>m</t>
  </si>
  <si>
    <t>d</t>
  </si>
  <si>
    <t>a</t>
  </si>
  <si>
    <t>new tower opener</t>
  </si>
  <si>
    <t xml:space="preserve">CO2 რედუქტორი შტუცერების კომპლექტთან (მანომეტრი) 
СО2-reducer  with john guests </t>
  </si>
  <si>
    <t>medallion metallic,round
Metal medallion for beer tower, chrome</t>
  </si>
  <si>
    <t>ლუდის ჩამოსასხმლი ონკანი
Metal beer tap, chrome</t>
  </si>
  <si>
    <t>equal straight connector PI0412S 3/8"</t>
  </si>
  <si>
    <t>reducing straight connector PI201612S 1/2"</t>
  </si>
  <si>
    <t>Elbow -Superseal x Speedfit SI031012S 3/8" x 1/4"</t>
  </si>
  <si>
    <t>Elbow -Superseal x Speedfit SI041012S 5/16" x 3/8"</t>
  </si>
  <si>
    <t xml:space="preserve">Tube Brewmaster2-6.7mmx3/8" MA6.7x9.501
Beer hose </t>
  </si>
  <si>
    <t>female adaptor BSP PI451215FS  3/8x5/8</t>
  </si>
  <si>
    <t>two way divider PI2312S</t>
  </si>
  <si>
    <t>will be refurbished 2020</t>
  </si>
  <si>
    <t>new in stock</t>
  </si>
  <si>
    <t>1 sort</t>
  </si>
  <si>
    <t>2 sort</t>
  </si>
  <si>
    <t>3 sort</t>
  </si>
  <si>
    <t>4 sort</t>
  </si>
  <si>
    <t>Refurbishment Tower</t>
  </si>
  <si>
    <t>total tap</t>
  </si>
  <si>
    <t>sort</t>
  </si>
  <si>
    <t>additional 20%</t>
  </si>
  <si>
    <t>Refurbishment dispenser</t>
  </si>
  <si>
    <t>for refurbishment tower</t>
  </si>
  <si>
    <t>for new tower</t>
  </si>
  <si>
    <t>All Georgia</t>
  </si>
  <si>
    <t>20% additioninal</t>
  </si>
  <si>
    <t>Total order 2020</t>
  </si>
  <si>
    <t>spare opener fro refurbishment towers</t>
  </si>
  <si>
    <t>LOWENBRAU 0.5 mug special stone</t>
  </si>
  <si>
    <t>status</t>
  </si>
  <si>
    <t xml:space="preserve">end of march </t>
  </si>
  <si>
    <t>Status</t>
  </si>
  <si>
    <t>saving</t>
  </si>
  <si>
    <t>?</t>
  </si>
  <si>
    <t xml:space="preserve">2020 reviced order </t>
  </si>
  <si>
    <t>sub total</t>
  </si>
  <si>
    <t>revised march 2020</t>
  </si>
  <si>
    <t>WH</t>
  </si>
  <si>
    <t>End of May/Beginning of June</t>
  </si>
  <si>
    <t>Production - Mid April</t>
  </si>
  <si>
    <t>mid April</t>
  </si>
  <si>
    <t xml:space="preserve">Price </t>
  </si>
  <si>
    <t>S Type Opener</t>
  </si>
  <si>
    <t>M Type Opener</t>
  </si>
  <si>
    <t>D Type Opener</t>
  </si>
  <si>
    <t>A Type Opener</t>
  </si>
  <si>
    <t xml:space="preserve">No changes made </t>
  </si>
  <si>
    <t>Revised q-ty  based on new order</t>
  </si>
  <si>
    <t xml:space="preserve">Pegas </t>
  </si>
  <si>
    <t>For refurbishment tower</t>
  </si>
  <si>
    <t>For new tower</t>
  </si>
  <si>
    <t xml:space="preserve">Stock </t>
  </si>
  <si>
    <t>New tower opener</t>
  </si>
  <si>
    <t>New in stock</t>
  </si>
  <si>
    <t>Will be refurbished 2020</t>
  </si>
  <si>
    <t>Sort</t>
  </si>
  <si>
    <t>Total tap</t>
  </si>
  <si>
    <t>Revised march 2020</t>
  </si>
  <si>
    <t>Stock q-ty jan 2020</t>
  </si>
  <si>
    <t>Stock for 25.03.20</t>
  </si>
  <si>
    <t>Column2</t>
  </si>
  <si>
    <t>Total2</t>
  </si>
  <si>
    <t>will be spend</t>
  </si>
  <si>
    <t>old stock +new order</t>
  </si>
  <si>
    <t xml:space="preserve">new order </t>
  </si>
  <si>
    <t>ახლებს უნდა მოყვებოდეს მგონი</t>
  </si>
  <si>
    <t>for refurbishment towers
ქსელში შესაცვლელად</t>
  </si>
  <si>
    <t xml:space="preserve">for new tower
ახალი თაუერებისთვის </t>
  </si>
  <si>
    <t>რაოდენობა</t>
  </si>
  <si>
    <t>აღწერილობა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</si>
</sst>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EUR]\ #,##0_);\([$EUR]\ 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u/>
      <sz val="11"/>
      <color rgb="FFFF0000"/>
      <name val="Calibri"/>
      <family val="2"/>
    </font>
    <font>
      <i/>
      <sz val="11"/>
      <color theme="1" tint="4.9989318521683403E-2"/>
      <name val="Calibri"/>
      <family val="2"/>
    </font>
    <font>
      <b/>
      <i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theme="4" tint="0.59999389629810485"/>
      </patternFill>
    </fill>
    <fill>
      <patternFill patternType="solid">
        <fgColor rgb="FF00B0F0"/>
        <bgColor theme="4" tint="0.59999389629810485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FFFF00"/>
        <bgColor theme="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294">
    <xf numFmtId="0" fontId="0" fillId="0" borderId="0" xfId="0"/>
    <xf numFmtId="0" fontId="3" fillId="0" borderId="2" xfId="4" applyFont="1" applyFill="1" applyBorder="1" applyAlignment="1" applyProtection="1">
      <alignment horizontal="left" vertical="center"/>
    </xf>
    <xf numFmtId="0" fontId="4" fillId="0" borderId="3" xfId="4" applyFont="1" applyFill="1" applyBorder="1" applyAlignment="1" applyProtection="1">
      <alignment horizontal="left" vertical="center" indent="2"/>
    </xf>
    <xf numFmtId="0" fontId="4" fillId="0" borderId="4" xfId="4" applyFont="1" applyFill="1" applyBorder="1" applyAlignment="1" applyProtection="1">
      <alignment horizontal="left" vertical="center" indent="2"/>
    </xf>
    <xf numFmtId="0" fontId="5" fillId="0" borderId="2" xfId="4" applyFont="1" applyFill="1" applyBorder="1" applyAlignment="1" applyProtection="1">
      <alignment horizontal="left" vertical="center"/>
    </xf>
    <xf numFmtId="0" fontId="4" fillId="0" borderId="5" xfId="4" applyFont="1" applyFill="1" applyBorder="1" applyAlignment="1" applyProtection="1">
      <alignment horizontal="left" vertical="center" indent="2"/>
    </xf>
    <xf numFmtId="164" fontId="5" fillId="0" borderId="6" xfId="1" applyNumberFormat="1" applyFont="1" applyFill="1" applyBorder="1" applyAlignment="1" applyProtection="1">
      <alignment horizontal="left" vertical="center"/>
    </xf>
    <xf numFmtId="164" fontId="5" fillId="0" borderId="7" xfId="1" applyNumberFormat="1" applyFont="1" applyFill="1" applyBorder="1" applyAlignment="1" applyProtection="1">
      <alignment horizontal="left" vertical="center"/>
    </xf>
    <xf numFmtId="165" fontId="5" fillId="2" borderId="8" xfId="2" applyNumberFormat="1" applyFont="1" applyFill="1" applyBorder="1" applyAlignment="1" applyProtection="1">
      <alignment horizontal="left" vertical="center"/>
    </xf>
    <xf numFmtId="164" fontId="6" fillId="0" borderId="9" xfId="1" applyNumberFormat="1" applyFont="1" applyFill="1" applyBorder="1" applyAlignment="1" applyProtection="1">
      <alignment horizontal="left" vertical="center"/>
    </xf>
    <xf numFmtId="164" fontId="6" fillId="0" borderId="10" xfId="1" applyNumberFormat="1" applyFont="1" applyFill="1" applyBorder="1" applyAlignment="1" applyProtection="1">
      <alignment horizontal="left" vertical="center"/>
    </xf>
    <xf numFmtId="164" fontId="6" fillId="0" borderId="11" xfId="1" applyNumberFormat="1" applyFont="1" applyFill="1" applyBorder="1" applyAlignment="1" applyProtection="1">
      <alignment horizontal="left" vertical="center"/>
    </xf>
    <xf numFmtId="165" fontId="6" fillId="2" borderId="12" xfId="2" applyNumberFormat="1" applyFont="1" applyFill="1" applyBorder="1" applyAlignment="1" applyProtection="1">
      <alignment horizontal="left" vertical="center"/>
    </xf>
    <xf numFmtId="164" fontId="6" fillId="0" borderId="13" xfId="1" applyNumberFormat="1" applyFont="1" applyFill="1" applyBorder="1" applyAlignment="1" applyProtection="1">
      <alignment horizontal="left" vertical="center"/>
    </xf>
    <xf numFmtId="164" fontId="6" fillId="0" borderId="14" xfId="1" applyNumberFormat="1" applyFont="1" applyFill="1" applyBorder="1" applyAlignment="1" applyProtection="1">
      <alignment horizontal="left" vertical="center"/>
    </xf>
    <xf numFmtId="164" fontId="6" fillId="0" borderId="15" xfId="1" applyNumberFormat="1" applyFont="1" applyFill="1" applyBorder="1" applyAlignment="1" applyProtection="1">
      <alignment horizontal="left" vertical="center"/>
    </xf>
    <xf numFmtId="165" fontId="6" fillId="2" borderId="16" xfId="2" applyNumberFormat="1" applyFont="1" applyFill="1" applyBorder="1" applyAlignment="1" applyProtection="1">
      <alignment horizontal="left" vertical="center"/>
    </xf>
    <xf numFmtId="164" fontId="6" fillId="0" borderId="17" xfId="1" applyNumberFormat="1" applyFont="1" applyFill="1" applyBorder="1" applyAlignment="1" applyProtection="1">
      <alignment horizontal="left" vertical="center"/>
    </xf>
    <xf numFmtId="164" fontId="6" fillId="0" borderId="18" xfId="1" applyNumberFormat="1" applyFont="1" applyFill="1" applyBorder="1" applyAlignment="1" applyProtection="1">
      <alignment horizontal="left" vertical="center"/>
    </xf>
    <xf numFmtId="164" fontId="6" fillId="0" borderId="19" xfId="1" applyNumberFormat="1" applyFont="1" applyFill="1" applyBorder="1" applyAlignment="1" applyProtection="1">
      <alignment horizontal="left" vertical="center"/>
    </xf>
    <xf numFmtId="165" fontId="6" fillId="2" borderId="20" xfId="2" applyNumberFormat="1" applyFont="1" applyFill="1" applyBorder="1" applyAlignment="1" applyProtection="1">
      <alignment horizontal="left" vertical="center"/>
    </xf>
    <xf numFmtId="0" fontId="7" fillId="3" borderId="21" xfId="3" applyFont="1" applyFill="1" applyBorder="1" applyAlignment="1" applyProtection="1">
      <alignment horizontal="center" vertical="center" wrapText="1"/>
    </xf>
    <xf numFmtId="0" fontId="7" fillId="4" borderId="22" xfId="3" applyFont="1" applyFill="1" applyBorder="1" applyAlignment="1" applyProtection="1">
      <alignment horizontal="center" vertical="center" wrapText="1"/>
    </xf>
    <xf numFmtId="0" fontId="7" fillId="4" borderId="23" xfId="3" applyFont="1" applyFill="1" applyBorder="1" applyAlignment="1" applyProtection="1">
      <alignment horizontal="center" vertical="center" wrapText="1"/>
    </xf>
    <xf numFmtId="0" fontId="7" fillId="4" borderId="0" xfId="3" applyFont="1" applyFill="1" applyBorder="1" applyAlignment="1" applyProtection="1">
      <alignment horizontal="center" vertical="center" wrapText="1"/>
    </xf>
    <xf numFmtId="43" fontId="0" fillId="0" borderId="0" xfId="1" applyFont="1"/>
    <xf numFmtId="9" fontId="0" fillId="0" borderId="0" xfId="5" applyFont="1"/>
    <xf numFmtId="164" fontId="0" fillId="0" borderId="0" xfId="0" applyNumberFormat="1"/>
    <xf numFmtId="43" fontId="0" fillId="0" borderId="0" xfId="0" applyNumberFormat="1"/>
    <xf numFmtId="0" fontId="4" fillId="0" borderId="0" xfId="4" applyFont="1" applyFill="1" applyBorder="1" applyAlignment="1" applyProtection="1">
      <alignment horizontal="left" vertical="center" indent="2"/>
    </xf>
    <xf numFmtId="164" fontId="6" fillId="0" borderId="0" xfId="1" applyNumberFormat="1" applyFont="1" applyFill="1" applyBorder="1" applyAlignment="1" applyProtection="1">
      <alignment horizontal="left" vertical="center"/>
    </xf>
    <xf numFmtId="165" fontId="6" fillId="2" borderId="0" xfId="2" applyNumberFormat="1" applyFont="1" applyFill="1" applyBorder="1" applyAlignment="1" applyProtection="1">
      <alignment horizontal="left" vertical="center"/>
    </xf>
    <xf numFmtId="164" fontId="8" fillId="0" borderId="0" xfId="0" applyNumberFormat="1" applyFont="1"/>
    <xf numFmtId="1" fontId="0" fillId="0" borderId="0" xfId="0" applyNumberFormat="1"/>
    <xf numFmtId="164" fontId="0" fillId="0" borderId="25" xfId="0" applyNumberFormat="1" applyBorder="1"/>
    <xf numFmtId="164" fontId="0" fillId="0" borderId="26" xfId="0" applyNumberFormat="1" applyBorder="1"/>
    <xf numFmtId="164" fontId="0" fillId="0" borderId="28" xfId="0" applyNumberFormat="1" applyBorder="1"/>
    <xf numFmtId="164" fontId="0" fillId="0" borderId="0" xfId="0" applyNumberFormat="1" applyBorder="1"/>
    <xf numFmtId="164" fontId="0" fillId="5" borderId="28" xfId="0" applyNumberFormat="1" applyFill="1" applyBorder="1"/>
    <xf numFmtId="0" fontId="0" fillId="0" borderId="28" xfId="0" applyBorder="1"/>
    <xf numFmtId="0" fontId="0" fillId="0" borderId="0" xfId="0" applyBorder="1"/>
    <xf numFmtId="164" fontId="0" fillId="0" borderId="30" xfId="0" applyNumberFormat="1" applyBorder="1"/>
    <xf numFmtId="164" fontId="0" fillId="0" borderId="31" xfId="0" applyNumberFormat="1" applyBorder="1"/>
    <xf numFmtId="43" fontId="8" fillId="0" borderId="0" xfId="0" applyNumberFormat="1" applyFont="1"/>
    <xf numFmtId="0" fontId="0" fillId="0" borderId="24" xfId="0" applyBorder="1"/>
    <xf numFmtId="164" fontId="6" fillId="0" borderId="24" xfId="1" applyNumberFormat="1" applyFont="1" applyFill="1" applyBorder="1" applyAlignment="1" applyProtection="1">
      <alignment horizontal="left" vertical="center"/>
    </xf>
    <xf numFmtId="43" fontId="0" fillId="0" borderId="24" xfId="1" applyFont="1" applyBorder="1"/>
    <xf numFmtId="166" fontId="8" fillId="0" borderId="0" xfId="1" applyNumberFormat="1" applyFont="1"/>
    <xf numFmtId="0" fontId="4" fillId="5" borderId="4" xfId="4" applyFont="1" applyFill="1" applyBorder="1" applyAlignment="1" applyProtection="1">
      <alignment horizontal="left" vertical="center" wrapText="1" indent="2"/>
    </xf>
    <xf numFmtId="43" fontId="0" fillId="5" borderId="0" xfId="1" applyFont="1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164" fontId="0" fillId="0" borderId="28" xfId="0" applyNumberFormat="1" applyFill="1" applyBorder="1"/>
    <xf numFmtId="164" fontId="6" fillId="5" borderId="13" xfId="1" applyNumberFormat="1" applyFont="1" applyFill="1" applyBorder="1" applyAlignment="1" applyProtection="1">
      <alignment horizontal="left" vertical="center"/>
    </xf>
    <xf numFmtId="164" fontId="6" fillId="5" borderId="14" xfId="1" applyNumberFormat="1" applyFont="1" applyFill="1" applyBorder="1" applyAlignment="1" applyProtection="1">
      <alignment horizontal="left" vertical="center"/>
    </xf>
    <xf numFmtId="164" fontId="6" fillId="5" borderId="15" xfId="1" applyNumberFormat="1" applyFont="1" applyFill="1" applyBorder="1" applyAlignment="1" applyProtection="1">
      <alignment horizontal="left" vertical="center"/>
    </xf>
    <xf numFmtId="165" fontId="6" fillId="5" borderId="16" xfId="2" applyNumberFormat="1" applyFont="1" applyFill="1" applyBorder="1" applyAlignment="1" applyProtection="1">
      <alignment horizontal="left" vertical="center"/>
    </xf>
    <xf numFmtId="164" fontId="0" fillId="5" borderId="24" xfId="0" applyNumberFormat="1" applyFill="1" applyBorder="1"/>
    <xf numFmtId="164" fontId="0" fillId="5" borderId="0" xfId="0" applyNumberFormat="1" applyFill="1" applyBorder="1"/>
    <xf numFmtId="164" fontId="0" fillId="5" borderId="0" xfId="0" applyNumberFormat="1" applyFill="1"/>
    <xf numFmtId="0" fontId="9" fillId="6" borderId="34" xfId="0" applyFont="1" applyFill="1" applyBorder="1" applyAlignment="1">
      <alignment vertical="center"/>
    </xf>
    <xf numFmtId="166" fontId="0" fillId="0" borderId="24" xfId="1" applyNumberFormat="1" applyFont="1" applyBorder="1"/>
    <xf numFmtId="0" fontId="9" fillId="6" borderId="35" xfId="0" applyFont="1" applyFill="1" applyBorder="1" applyAlignment="1">
      <alignment vertical="center"/>
    </xf>
    <xf numFmtId="0" fontId="0" fillId="0" borderId="24" xfId="0" applyFill="1" applyBorder="1"/>
    <xf numFmtId="166" fontId="0" fillId="0" borderId="24" xfId="0" applyNumberFormat="1" applyBorder="1"/>
    <xf numFmtId="0" fontId="8" fillId="0" borderId="24" xfId="0" applyFont="1" applyBorder="1"/>
    <xf numFmtId="0" fontId="0" fillId="5" borderId="24" xfId="0" applyFill="1" applyBorder="1"/>
    <xf numFmtId="164" fontId="8" fillId="0" borderId="27" xfId="0" applyNumberFormat="1" applyFont="1" applyBorder="1"/>
    <xf numFmtId="164" fontId="8" fillId="5" borderId="29" xfId="0" applyNumberFormat="1" applyFont="1" applyFill="1" applyBorder="1"/>
    <xf numFmtId="164" fontId="8" fillId="0" borderId="29" xfId="0" applyNumberFormat="1" applyFont="1" applyBorder="1"/>
    <xf numFmtId="164" fontId="8" fillId="0" borderId="32" xfId="0" applyNumberFormat="1" applyFont="1" applyBorder="1"/>
    <xf numFmtId="9" fontId="0" fillId="0" borderId="24" xfId="5" applyFont="1" applyBorder="1"/>
    <xf numFmtId="0" fontId="0" fillId="5" borderId="33" xfId="0" applyFill="1" applyBorder="1" applyAlignment="1"/>
    <xf numFmtId="0" fontId="8" fillId="0" borderId="0" xfId="0" applyFont="1"/>
    <xf numFmtId="43" fontId="8" fillId="0" borderId="0" xfId="1" applyFont="1"/>
    <xf numFmtId="43" fontId="0" fillId="5" borderId="0" xfId="0" applyNumberFormat="1" applyFill="1"/>
    <xf numFmtId="43" fontId="9" fillId="6" borderId="24" xfId="1" applyFont="1" applyFill="1" applyBorder="1" applyAlignment="1">
      <alignment vertical="center"/>
    </xf>
    <xf numFmtId="0" fontId="8" fillId="5" borderId="0" xfId="0" applyFont="1" applyFill="1"/>
    <xf numFmtId="43" fontId="8" fillId="5" borderId="0" xfId="1" applyFont="1" applyFill="1"/>
    <xf numFmtId="166" fontId="8" fillId="0" borderId="0" xfId="0" applyNumberFormat="1" applyFont="1"/>
    <xf numFmtId="0" fontId="10" fillId="0" borderId="0" xfId="6"/>
    <xf numFmtId="1" fontId="0" fillId="0" borderId="24" xfId="0" applyNumberFormat="1" applyBorder="1"/>
    <xf numFmtId="1" fontId="8" fillId="0" borderId="0" xfId="0" applyNumberFormat="1" applyFont="1"/>
    <xf numFmtId="43" fontId="0" fillId="5" borderId="33" xfId="1" applyFont="1" applyFill="1" applyBorder="1" applyAlignment="1">
      <alignment horizontal="center"/>
    </xf>
    <xf numFmtId="2" fontId="0" fillId="0" borderId="0" xfId="0" applyNumberFormat="1"/>
    <xf numFmtId="43" fontId="0" fillId="5" borderId="33" xfId="1" applyFont="1" applyFill="1" applyBorder="1" applyAlignment="1">
      <alignment horizontal="left"/>
    </xf>
    <xf numFmtId="43" fontId="8" fillId="0" borderId="0" xfId="1" applyNumberFormat="1" applyFont="1"/>
    <xf numFmtId="0" fontId="0" fillId="0" borderId="0" xfId="0" applyAlignment="1">
      <alignment wrapText="1"/>
    </xf>
    <xf numFmtId="43" fontId="12" fillId="8" borderId="36" xfId="0" applyNumberFormat="1" applyFont="1" applyFill="1" applyBorder="1"/>
    <xf numFmtId="0" fontId="12" fillId="8" borderId="0" xfId="0" applyFont="1" applyFill="1" applyBorder="1"/>
    <xf numFmtId="43" fontId="12" fillId="8" borderId="37" xfId="1" applyNumberFormat="1" applyFont="1" applyFill="1" applyBorder="1"/>
    <xf numFmtId="0" fontId="0" fillId="9" borderId="38" xfId="0" applyFont="1" applyFill="1" applyBorder="1"/>
    <xf numFmtId="43" fontId="0" fillId="9" borderId="36" xfId="1" applyNumberFormat="1" applyFont="1" applyFill="1" applyBorder="1"/>
    <xf numFmtId="0" fontId="0" fillId="10" borderId="39" xfId="0" applyFont="1" applyFill="1" applyBorder="1"/>
    <xf numFmtId="43" fontId="0" fillId="10" borderId="40" xfId="1" applyNumberFormat="1" applyFont="1" applyFill="1" applyBorder="1"/>
    <xf numFmtId="0" fontId="0" fillId="9" borderId="39" xfId="0" applyFont="1" applyFill="1" applyBorder="1"/>
    <xf numFmtId="43" fontId="0" fillId="9" borderId="40" xfId="1" applyNumberFormat="1" applyFont="1" applyFill="1" applyBorder="1"/>
    <xf numFmtId="0" fontId="12" fillId="8" borderId="38" xfId="0" applyFont="1" applyFill="1" applyBorder="1"/>
    <xf numFmtId="43" fontId="12" fillId="8" borderId="0" xfId="1" applyNumberFormat="1" applyFont="1" applyFill="1" applyBorder="1"/>
    <xf numFmtId="43" fontId="0" fillId="9" borderId="38" xfId="1" applyNumberFormat="1" applyFont="1" applyFill="1" applyBorder="1"/>
    <xf numFmtId="43" fontId="0" fillId="10" borderId="39" xfId="1" applyNumberFormat="1" applyFont="1" applyFill="1" applyBorder="1"/>
    <xf numFmtId="43" fontId="0" fillId="9" borderId="39" xfId="1" applyNumberFormat="1" applyFont="1" applyFill="1" applyBorder="1"/>
    <xf numFmtId="0" fontId="12" fillId="8" borderId="38" xfId="0" applyNumberFormat="1" applyFont="1" applyFill="1" applyBorder="1"/>
    <xf numFmtId="43" fontId="12" fillId="8" borderId="38" xfId="0" applyNumberFormat="1" applyFont="1" applyFill="1" applyBorder="1"/>
    <xf numFmtId="0" fontId="8" fillId="12" borderId="0" xfId="0" applyFont="1" applyFill="1" applyAlignment="1">
      <alignment horizontal="center" vertical="center"/>
    </xf>
    <xf numFmtId="0" fontId="0" fillId="12" borderId="0" xfId="0" applyFill="1"/>
    <xf numFmtId="43" fontId="0" fillId="9" borderId="0" xfId="1" applyNumberFormat="1" applyFont="1" applyFill="1" applyBorder="1"/>
    <xf numFmtId="43" fontId="0" fillId="10" borderId="0" xfId="1" applyNumberFormat="1" applyFont="1" applyFill="1" applyBorder="1"/>
    <xf numFmtId="43" fontId="12" fillId="8" borderId="0" xfId="0" applyNumberFormat="1" applyFont="1" applyFill="1" applyBorder="1"/>
    <xf numFmtId="164" fontId="6" fillId="11" borderId="10" xfId="1" applyNumberFormat="1" applyFont="1" applyFill="1" applyBorder="1" applyAlignment="1" applyProtection="1">
      <alignment horizontal="left" vertical="center"/>
    </xf>
    <xf numFmtId="166" fontId="0" fillId="0" borderId="41" xfId="0" applyNumberFormat="1" applyFill="1" applyBorder="1"/>
    <xf numFmtId="167" fontId="8" fillId="0" borderId="0" xfId="0" applyNumberFormat="1" applyFont="1"/>
    <xf numFmtId="2" fontId="8" fillId="0" borderId="0" xfId="0" applyNumberFormat="1" applyFont="1"/>
    <xf numFmtId="1" fontId="0" fillId="0" borderId="0" xfId="0" applyNumberFormat="1" applyBorder="1"/>
    <xf numFmtId="166" fontId="0" fillId="0" borderId="24" xfId="1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6" fontId="0" fillId="0" borderId="52" xfId="1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6" fillId="5" borderId="24" xfId="1" applyNumberFormat="1" applyFont="1" applyFill="1" applyBorder="1" applyAlignment="1" applyProtection="1">
      <alignment horizontal="left" vertical="center"/>
    </xf>
    <xf numFmtId="164" fontId="5" fillId="0" borderId="49" xfId="1" applyNumberFormat="1" applyFont="1" applyFill="1" applyBorder="1" applyAlignment="1" applyProtection="1">
      <alignment horizontal="left" vertical="center"/>
    </xf>
    <xf numFmtId="0" fontId="4" fillId="0" borderId="50" xfId="4" applyFont="1" applyFill="1" applyBorder="1" applyAlignment="1" applyProtection="1">
      <alignment horizontal="left" vertical="center" indent="2"/>
    </xf>
    <xf numFmtId="0" fontId="4" fillId="5" borderId="50" xfId="4" applyFont="1" applyFill="1" applyBorder="1" applyAlignment="1" applyProtection="1">
      <alignment horizontal="left" vertical="center" wrapText="1" indent="2"/>
    </xf>
    <xf numFmtId="168" fontId="6" fillId="5" borderId="10" xfId="2" applyNumberFormat="1" applyFont="1" applyFill="1" applyBorder="1" applyAlignment="1" applyProtection="1">
      <alignment horizontal="left" vertical="center"/>
    </xf>
    <xf numFmtId="0" fontId="4" fillId="0" borderId="51" xfId="4" applyFont="1" applyFill="1" applyBorder="1" applyAlignment="1" applyProtection="1">
      <alignment horizontal="left" vertical="center" indent="2"/>
    </xf>
    <xf numFmtId="164" fontId="6" fillId="0" borderId="52" xfId="1" applyNumberFormat="1" applyFont="1" applyFill="1" applyBorder="1" applyAlignment="1" applyProtection="1">
      <alignment horizontal="left" vertical="center"/>
    </xf>
    <xf numFmtId="0" fontId="5" fillId="0" borderId="48" xfId="4" applyFont="1" applyFill="1" applyBorder="1" applyAlignment="1" applyProtection="1">
      <alignment horizontal="left" vertical="center"/>
    </xf>
    <xf numFmtId="168" fontId="6" fillId="13" borderId="10" xfId="2" applyNumberFormat="1" applyFont="1" applyFill="1" applyBorder="1" applyAlignment="1" applyProtection="1">
      <alignment horizontal="left" vertical="center"/>
    </xf>
    <xf numFmtId="164" fontId="5" fillId="13" borderId="6" xfId="1" applyNumberFormat="1" applyFont="1" applyFill="1" applyBorder="1" applyAlignment="1" applyProtection="1">
      <alignment horizontal="left" vertical="center"/>
    </xf>
    <xf numFmtId="168" fontId="6" fillId="13" borderId="18" xfId="2" applyNumberFormat="1" applyFont="1" applyFill="1" applyBorder="1" applyAlignment="1" applyProtection="1">
      <alignment horizontal="left" vertical="center"/>
    </xf>
    <xf numFmtId="164" fontId="0" fillId="0" borderId="24" xfId="0" applyNumberFormat="1" applyBorder="1"/>
    <xf numFmtId="0" fontId="0" fillId="0" borderId="50" xfId="0" applyBorder="1"/>
    <xf numFmtId="164" fontId="0" fillId="0" borderId="50" xfId="0" applyNumberFormat="1" applyBorder="1"/>
    <xf numFmtId="164" fontId="8" fillId="0" borderId="10" xfId="0" applyNumberFormat="1" applyFont="1" applyBorder="1"/>
    <xf numFmtId="164" fontId="0" fillId="5" borderId="50" xfId="0" applyNumberFormat="1" applyFill="1" applyBorder="1"/>
    <xf numFmtId="164" fontId="8" fillId="5" borderId="10" xfId="0" applyNumberFormat="1" applyFont="1" applyFill="1" applyBorder="1"/>
    <xf numFmtId="164" fontId="0" fillId="0" borderId="50" xfId="0" applyNumberFormat="1" applyFill="1" applyBorder="1"/>
    <xf numFmtId="164" fontId="0" fillId="0" borderId="51" xfId="0" applyNumberFormat="1" applyBorder="1"/>
    <xf numFmtId="164" fontId="0" fillId="0" borderId="52" xfId="0" applyNumberFormat="1" applyBorder="1"/>
    <xf numFmtId="164" fontId="8" fillId="0" borderId="18" xfId="0" applyNumberFormat="1" applyFont="1" applyBorder="1"/>
    <xf numFmtId="0" fontId="4" fillId="5" borderId="58" xfId="4" applyFont="1" applyFill="1" applyBorder="1" applyAlignment="1" applyProtection="1">
      <alignment horizontal="left" vertical="center" indent="2"/>
    </xf>
    <xf numFmtId="164" fontId="6" fillId="5" borderId="42" xfId="1" applyNumberFormat="1" applyFont="1" applyFill="1" applyBorder="1" applyAlignment="1" applyProtection="1">
      <alignment horizontal="left" vertical="center"/>
    </xf>
    <xf numFmtId="168" fontId="6" fillId="5" borderId="14" xfId="2" applyNumberFormat="1" applyFont="1" applyFill="1" applyBorder="1" applyAlignment="1" applyProtection="1">
      <alignment horizontal="left" vertical="center"/>
    </xf>
    <xf numFmtId="43" fontId="0" fillId="15" borderId="0" xfId="1" applyNumberFormat="1" applyFont="1" applyFill="1" applyBorder="1"/>
    <xf numFmtId="0" fontId="0" fillId="5" borderId="49" xfId="0" applyFill="1" applyBorder="1" applyAlignment="1">
      <alignment horizontal="center" wrapText="1"/>
    </xf>
    <xf numFmtId="1" fontId="0" fillId="0" borderId="61" xfId="0" applyNumberFormat="1" applyBorder="1"/>
    <xf numFmtId="0" fontId="0" fillId="0" borderId="21" xfId="0" applyBorder="1"/>
    <xf numFmtId="0" fontId="0" fillId="0" borderId="62" xfId="0" applyBorder="1"/>
    <xf numFmtId="0" fontId="0" fillId="0" borderId="60" xfId="0" applyBorder="1"/>
    <xf numFmtId="0" fontId="0" fillId="0" borderId="63" xfId="0" applyBorder="1"/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9" fontId="0" fillId="0" borderId="0" xfId="5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59" xfId="1" applyFont="1" applyBorder="1" applyAlignment="1">
      <alignment horizontal="center" vertical="center" wrapText="1"/>
    </xf>
    <xf numFmtId="9" fontId="0" fillId="0" borderId="59" xfId="0" applyNumberFormat="1" applyBorder="1" applyAlignment="1">
      <alignment horizontal="center" vertical="center" wrapText="1"/>
    </xf>
    <xf numFmtId="1" fontId="0" fillId="0" borderId="63" xfId="0" applyNumberFormat="1" applyBorder="1"/>
    <xf numFmtId="2" fontId="0" fillId="0" borderId="59" xfId="0" applyNumberFormat="1" applyBorder="1" applyAlignment="1">
      <alignment horizontal="center" vertical="center" wrapText="1"/>
    </xf>
    <xf numFmtId="1" fontId="8" fillId="0" borderId="63" xfId="0" applyNumberFormat="1" applyFont="1" applyBorder="1"/>
    <xf numFmtId="1" fontId="8" fillId="0" borderId="0" xfId="0" applyNumberFormat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0" fillId="0" borderId="35" xfId="0" applyBorder="1"/>
    <xf numFmtId="0" fontId="0" fillId="0" borderId="44" xfId="0" applyBorder="1"/>
    <xf numFmtId="0" fontId="0" fillId="0" borderId="64" xfId="0" applyBorder="1"/>
    <xf numFmtId="0" fontId="0" fillId="5" borderId="4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43" fontId="8" fillId="5" borderId="0" xfId="1" applyFont="1" applyFill="1" applyBorder="1" applyAlignment="1">
      <alignment horizontal="center" vertical="center" wrapText="1"/>
    </xf>
    <xf numFmtId="166" fontId="0" fillId="9" borderId="24" xfId="1" applyNumberFormat="1" applyFont="1" applyFill="1" applyBorder="1" applyAlignment="1">
      <alignment horizontal="center" vertical="center"/>
    </xf>
    <xf numFmtId="43" fontId="0" fillId="9" borderId="24" xfId="1" applyNumberFormat="1" applyFont="1" applyFill="1" applyBorder="1" applyAlignment="1">
      <alignment horizontal="center" vertical="center"/>
    </xf>
    <xf numFmtId="166" fontId="0" fillId="10" borderId="24" xfId="1" applyNumberFormat="1" applyFont="1" applyFill="1" applyBorder="1" applyAlignment="1">
      <alignment horizontal="center" vertical="center"/>
    </xf>
    <xf numFmtId="43" fontId="0" fillId="10" borderId="24" xfId="1" applyNumberFormat="1" applyFont="1" applyFill="1" applyBorder="1" applyAlignment="1">
      <alignment horizontal="center" vertical="center"/>
    </xf>
    <xf numFmtId="166" fontId="0" fillId="15" borderId="24" xfId="1" applyNumberFormat="1" applyFont="1" applyFill="1" applyBorder="1" applyAlignment="1">
      <alignment horizontal="center" vertical="center"/>
    </xf>
    <xf numFmtId="166" fontId="0" fillId="18" borderId="24" xfId="1" applyNumberFormat="1" applyFont="1" applyFill="1" applyBorder="1" applyAlignment="1">
      <alignment horizontal="center" vertical="center"/>
    </xf>
    <xf numFmtId="166" fontId="0" fillId="16" borderId="24" xfId="1" applyNumberFormat="1" applyFont="1" applyFill="1" applyBorder="1" applyAlignment="1">
      <alignment horizontal="center" vertical="center"/>
    </xf>
    <xf numFmtId="166" fontId="0" fillId="17" borderId="24" xfId="1" applyNumberFormat="1" applyFont="1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166" fontId="0" fillId="9" borderId="24" xfId="1" applyNumberFormat="1" applyFont="1" applyFill="1" applyBorder="1"/>
    <xf numFmtId="166" fontId="0" fillId="0" borderId="9" xfId="0" applyNumberFormat="1" applyBorder="1"/>
    <xf numFmtId="166" fontId="0" fillId="0" borderId="61" xfId="0" applyNumberFormat="1" applyBorder="1"/>
    <xf numFmtId="9" fontId="0" fillId="0" borderId="47" xfId="5" applyFont="1" applyBorder="1"/>
    <xf numFmtId="9" fontId="0" fillId="0" borderId="43" xfId="5" applyFont="1" applyBorder="1"/>
    <xf numFmtId="9" fontId="0" fillId="0" borderId="46" xfId="5" applyFont="1" applyBorder="1"/>
    <xf numFmtId="166" fontId="8" fillId="0" borderId="13" xfId="0" applyNumberFormat="1" applyFont="1" applyBorder="1"/>
    <xf numFmtId="166" fontId="8" fillId="0" borderId="42" xfId="0" applyNumberFormat="1" applyFont="1" applyBorder="1"/>
    <xf numFmtId="166" fontId="8" fillId="0" borderId="45" xfId="0" applyNumberFormat="1" applyFont="1" applyBorder="1"/>
    <xf numFmtId="0" fontId="0" fillId="0" borderId="59" xfId="0" applyBorder="1"/>
    <xf numFmtId="166" fontId="0" fillId="9" borderId="9" xfId="1" applyNumberFormat="1" applyFont="1" applyFill="1" applyBorder="1"/>
    <xf numFmtId="166" fontId="0" fillId="9" borderId="61" xfId="1" applyNumberFormat="1" applyFont="1" applyFill="1" applyBorder="1"/>
    <xf numFmtId="43" fontId="12" fillId="8" borderId="47" xfId="1" applyNumberFormat="1" applyFont="1" applyFill="1" applyBorder="1"/>
    <xf numFmtId="43" fontId="12" fillId="8" borderId="43" xfId="1" applyNumberFormat="1" applyFont="1" applyFill="1" applyBorder="1"/>
    <xf numFmtId="43" fontId="12" fillId="8" borderId="46" xfId="1" applyNumberFormat="1" applyFont="1" applyFill="1" applyBorder="1"/>
    <xf numFmtId="0" fontId="0" fillId="9" borderId="9" xfId="0" applyFont="1" applyFill="1" applyBorder="1"/>
    <xf numFmtId="0" fontId="0" fillId="10" borderId="9" xfId="0" applyFont="1" applyFill="1" applyBorder="1"/>
    <xf numFmtId="166" fontId="0" fillId="9" borderId="61" xfId="1" applyNumberFormat="1" applyFont="1" applyFill="1" applyBorder="1" applyAlignment="1">
      <alignment horizontal="center" vertical="center"/>
    </xf>
    <xf numFmtId="0" fontId="12" fillId="8" borderId="47" xfId="0" applyFont="1" applyFill="1" applyBorder="1"/>
    <xf numFmtId="43" fontId="12" fillId="8" borderId="43" xfId="1" applyNumberFormat="1" applyFont="1" applyFill="1" applyBorder="1" applyAlignment="1">
      <alignment horizontal="center" vertical="center"/>
    </xf>
    <xf numFmtId="43" fontId="12" fillId="8" borderId="46" xfId="1" applyNumberFormat="1" applyFont="1" applyFill="1" applyBorder="1" applyAlignment="1">
      <alignment horizontal="center" vertical="center"/>
    </xf>
    <xf numFmtId="0" fontId="12" fillId="8" borderId="13" xfId="0" applyFont="1" applyFill="1" applyBorder="1"/>
    <xf numFmtId="166" fontId="12" fillId="8" borderId="42" xfId="0" applyNumberFormat="1" applyFont="1" applyFill="1" applyBorder="1" applyAlignment="1">
      <alignment horizontal="center" vertical="center"/>
    </xf>
    <xf numFmtId="43" fontId="12" fillId="8" borderId="42" xfId="0" applyNumberFormat="1" applyFont="1" applyFill="1" applyBorder="1" applyAlignment="1">
      <alignment horizontal="center" vertical="center"/>
    </xf>
    <xf numFmtId="0" fontId="12" fillId="8" borderId="42" xfId="0" applyNumberFormat="1" applyFont="1" applyFill="1" applyBorder="1" applyAlignment="1">
      <alignment horizontal="center" vertical="center"/>
    </xf>
    <xf numFmtId="9" fontId="0" fillId="0" borderId="62" xfId="5" applyFont="1" applyBorder="1"/>
    <xf numFmtId="166" fontId="0" fillId="0" borderId="0" xfId="0" applyNumberFormat="1" applyBorder="1"/>
    <xf numFmtId="166" fontId="0" fillId="0" borderId="59" xfId="0" applyNumberFormat="1" applyBorder="1"/>
    <xf numFmtId="166" fontId="8" fillId="0" borderId="59" xfId="0" applyNumberFormat="1" applyFont="1" applyBorder="1"/>
    <xf numFmtId="9" fontId="0" fillId="0" borderId="44" xfId="5" applyFont="1" applyBorder="1"/>
    <xf numFmtId="166" fontId="0" fillId="9" borderId="13" xfId="0" applyNumberFormat="1" applyFont="1" applyFill="1" applyBorder="1"/>
    <xf numFmtId="166" fontId="0" fillId="9" borderId="42" xfId="0" applyNumberFormat="1" applyFont="1" applyFill="1" applyBorder="1"/>
    <xf numFmtId="166" fontId="0" fillId="9" borderId="45" xfId="0" applyNumberFormat="1" applyFont="1" applyFill="1" applyBorder="1"/>
    <xf numFmtId="0" fontId="0" fillId="2" borderId="24" xfId="0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" fontId="0" fillId="0" borderId="24" xfId="0" applyNumberFormat="1" applyBorder="1" applyAlignment="1">
      <alignment horizontal="right" wrapText="1"/>
    </xf>
    <xf numFmtId="166" fontId="0" fillId="0" borderId="10" xfId="1" applyNumberFormat="1" applyFont="1" applyBorder="1" applyAlignment="1">
      <alignment horizontal="right" vertical="center" wrapText="1"/>
    </xf>
    <xf numFmtId="166" fontId="0" fillId="0" borderId="10" xfId="1" applyNumberFormat="1" applyFont="1" applyBorder="1" applyAlignment="1">
      <alignment horizontal="right" wrapText="1"/>
    </xf>
    <xf numFmtId="1" fontId="0" fillId="0" borderId="52" xfId="0" applyNumberFormat="1" applyBorder="1" applyAlignment="1">
      <alignment horizontal="right" wrapText="1"/>
    </xf>
    <xf numFmtId="166" fontId="0" fillId="0" borderId="18" xfId="1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52" xfId="0" applyFill="1" applyBorder="1" applyAlignment="1">
      <alignment horizontal="center" vertical="center" wrapText="1"/>
    </xf>
    <xf numFmtId="1" fontId="0" fillId="14" borderId="24" xfId="0" applyNumberFormat="1" applyFill="1" applyBorder="1" applyAlignment="1">
      <alignment horizontal="right" vertical="center" wrapText="1"/>
    </xf>
    <xf numFmtId="1" fontId="0" fillId="14" borderId="52" xfId="0" applyNumberFormat="1" applyFill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9" fillId="14" borderId="52" xfId="0" applyFont="1" applyFill="1" applyBorder="1" applyAlignment="1">
      <alignment horizontal="center" vertical="center" wrapText="1"/>
    </xf>
    <xf numFmtId="164" fontId="0" fillId="14" borderId="0" xfId="0" applyNumberFormat="1" applyFill="1" applyBorder="1"/>
    <xf numFmtId="164" fontId="0" fillId="0" borderId="63" xfId="0" applyNumberFormat="1" applyBorder="1"/>
    <xf numFmtId="43" fontId="0" fillId="0" borderId="63" xfId="0" applyNumberFormat="1" applyBorder="1"/>
    <xf numFmtId="164" fontId="8" fillId="14" borderId="0" xfId="0" applyNumberFormat="1" applyFont="1" applyFill="1" applyBorder="1"/>
    <xf numFmtId="9" fontId="0" fillId="0" borderId="21" xfId="5" applyFont="1" applyBorder="1"/>
    <xf numFmtId="0" fontId="0" fillId="5" borderId="7" xfId="0" applyFill="1" applyBorder="1" applyAlignment="1">
      <alignment horizontal="center"/>
    </xf>
    <xf numFmtId="0" fontId="7" fillId="4" borderId="66" xfId="3" applyFont="1" applyFill="1" applyBorder="1" applyAlignment="1" applyProtection="1">
      <alignment horizontal="center" vertical="center" wrapText="1"/>
    </xf>
    <xf numFmtId="0" fontId="3" fillId="0" borderId="67" xfId="4" applyFont="1" applyFill="1" applyBorder="1" applyAlignment="1" applyProtection="1">
      <alignment horizontal="left" vertical="center"/>
    </xf>
    <xf numFmtId="164" fontId="5" fillId="0" borderId="43" xfId="1" applyNumberFormat="1" applyFont="1" applyFill="1" applyBorder="1" applyAlignment="1" applyProtection="1">
      <alignment horizontal="left" vertical="center"/>
    </xf>
    <xf numFmtId="168" fontId="5" fillId="13" borderId="57" xfId="2" applyNumberFormat="1" applyFont="1" applyFill="1" applyBorder="1" applyAlignment="1" applyProtection="1">
      <alignment horizontal="left" vertical="center"/>
    </xf>
    <xf numFmtId="0" fontId="7" fillId="3" borderId="65" xfId="3" applyFont="1" applyFill="1" applyBorder="1" applyAlignment="1" applyProtection="1">
      <alignment horizontal="center" vertical="center" wrapText="1"/>
    </xf>
    <xf numFmtId="0" fontId="7" fillId="4" borderId="68" xfId="3" applyFont="1" applyFill="1" applyBorder="1" applyAlignment="1" applyProtection="1">
      <alignment horizontal="center" vertical="center" wrapText="1"/>
    </xf>
    <xf numFmtId="0" fontId="0" fillId="0" borderId="67" xfId="0" applyBorder="1"/>
    <xf numFmtId="0" fontId="0" fillId="0" borderId="43" xfId="0" applyBorder="1"/>
    <xf numFmtId="0" fontId="0" fillId="0" borderId="57" xfId="0" applyBorder="1"/>
    <xf numFmtId="0" fontId="8" fillId="14" borderId="65" xfId="0" applyFont="1" applyFill="1" applyBorder="1"/>
    <xf numFmtId="0" fontId="8" fillId="14" borderId="68" xfId="0" applyFont="1" applyFill="1" applyBorder="1"/>
    <xf numFmtId="0" fontId="8" fillId="14" borderId="66" xfId="0" applyFont="1" applyFill="1" applyBorder="1"/>
    <xf numFmtId="166" fontId="0" fillId="0" borderId="62" xfId="5" applyNumberFormat="1" applyFont="1" applyBorder="1"/>
    <xf numFmtId="166" fontId="0" fillId="0" borderId="62" xfId="0" applyNumberFormat="1" applyBorder="1"/>
    <xf numFmtId="166" fontId="0" fillId="0" borderId="0" xfId="0" applyNumberFormat="1"/>
    <xf numFmtId="0" fontId="12" fillId="8" borderId="50" xfId="0" applyFont="1" applyFill="1" applyBorder="1"/>
    <xf numFmtId="0" fontId="0" fillId="9" borderId="50" xfId="0" applyFont="1" applyFill="1" applyBorder="1"/>
    <xf numFmtId="0" fontId="0" fillId="10" borderId="50" xfId="0" applyFont="1" applyFill="1" applyBorder="1"/>
    <xf numFmtId="0" fontId="12" fillId="8" borderId="51" xfId="0" applyFont="1" applyFill="1" applyBorder="1"/>
    <xf numFmtId="43" fontId="14" fillId="19" borderId="43" xfId="1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6" fillId="13" borderId="24" xfId="1" applyNumberFormat="1" applyFont="1" applyFill="1" applyBorder="1" applyAlignment="1" applyProtection="1">
      <alignment horizontal="left" vertical="center"/>
    </xf>
    <xf numFmtId="164" fontId="6" fillId="13" borderId="52" xfId="1" applyNumberFormat="1" applyFont="1" applyFill="1" applyBorder="1" applyAlignment="1" applyProtection="1">
      <alignment horizontal="left" vertical="center"/>
    </xf>
    <xf numFmtId="164" fontId="0" fillId="13" borderId="50" xfId="0" applyNumberFormat="1" applyFill="1" applyBorder="1"/>
    <xf numFmtId="164" fontId="0" fillId="13" borderId="24" xfId="0" applyNumberFormat="1" applyFill="1" applyBorder="1"/>
    <xf numFmtId="164" fontId="8" fillId="13" borderId="10" xfId="0" applyNumberFormat="1" applyFont="1" applyFill="1" applyBorder="1"/>
    <xf numFmtId="43" fontId="11" fillId="20" borderId="24" xfId="7" applyNumberFormat="1" applyFill="1" applyBorder="1"/>
    <xf numFmtId="166" fontId="11" fillId="20" borderId="24" xfId="7" applyNumberFormat="1" applyFill="1" applyBorder="1"/>
    <xf numFmtId="0" fontId="0" fillId="0" borderId="21" xfId="0" applyBorder="1" applyAlignment="1">
      <alignment wrapText="1"/>
    </xf>
    <xf numFmtId="0" fontId="0" fillId="5" borderId="6" xfId="0" applyFill="1" applyBorder="1" applyAlignment="1">
      <alignment horizontal="center" wrapText="1"/>
    </xf>
    <xf numFmtId="49" fontId="11" fillId="20" borderId="50" xfId="7" applyNumberFormat="1" applyFill="1" applyBorder="1" applyAlignment="1">
      <alignment horizontal="left" wrapText="1"/>
    </xf>
    <xf numFmtId="166" fontId="11" fillId="20" borderId="10" xfId="7" applyNumberFormat="1" applyFill="1" applyBorder="1"/>
    <xf numFmtId="49" fontId="11" fillId="20" borderId="50" xfId="7" applyNumberFormat="1" applyFill="1" applyBorder="1" applyAlignment="1">
      <alignment horizontal="left"/>
    </xf>
    <xf numFmtId="49" fontId="11" fillId="20" borderId="51" xfId="7" applyNumberFormat="1" applyFill="1" applyBorder="1" applyAlignment="1">
      <alignment horizontal="left" wrapText="1"/>
    </xf>
    <xf numFmtId="43" fontId="11" fillId="20" borderId="52" xfId="7" applyNumberFormat="1" applyFill="1" applyBorder="1"/>
    <xf numFmtId="166" fontId="11" fillId="20" borderId="52" xfId="7" applyNumberFormat="1" applyFill="1" applyBorder="1"/>
    <xf numFmtId="166" fontId="11" fillId="20" borderId="18" xfId="7" applyNumberFormat="1" applyFill="1" applyBorder="1"/>
    <xf numFmtId="0" fontId="8" fillId="0" borderId="21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5" borderId="33" xfId="0" applyFill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/>
    </xf>
  </cellXfs>
  <cellStyles count="8">
    <cellStyle name="Comma" xfId="1" builtinId="3"/>
    <cellStyle name="Currency" xfId="2" builtinId="4"/>
    <cellStyle name="Good" xfId="7" builtinId="26"/>
    <cellStyle name="Heading 2" xfId="3" builtinId="17"/>
    <cellStyle name="Normal" xfId="0" builtinId="0"/>
    <cellStyle name="Normal 114" xfId="4" xr:uid="{D38C429F-A7CE-43CD-B764-EEC71AE11E5C}"/>
    <cellStyle name="Percent" xfId="5" builtinId="5"/>
    <cellStyle name="Warning Text" xfId="6" builtinId="1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_(* #,##0_);_(* \(#,##0\);_(* &quot;-&quot;??_);_(@_)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71B58E-D792-4146-A00C-B3B172358F88}" name="Table1" displayName="Table1" ref="AK4:AM33" totalsRowShown="0" headerRowDxfId="36" headerRowBorderDxfId="35" tableBorderDxfId="34" totalsRowBorderDxfId="33" headerRowCellStyle="Percent">
  <tableColumns count="3">
    <tableColumn id="1" xr3:uid="{E9570C9B-D95E-40AA-901D-BCDEC081137E}" name="Tbilisi" dataDxfId="32"/>
    <tableColumn id="2" xr3:uid="{6F2F1494-3308-4AE0-8A8B-2FCC655BDBDD}" name="East" dataDxfId="31"/>
    <tableColumn id="3" xr3:uid="{3DAE428A-58C1-4540-9A0F-F2B9300112F2}" name="West" dataDxfId="3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2D61B0-002A-414D-A3C2-51723680FC8C}" name="Table2" displayName="Table2" ref="AG4:AI34" totalsRowCount="1" headerRowDxfId="29" headerRowBorderDxfId="28" tableBorderDxfId="27" totalsRowBorderDxfId="26" headerRowCellStyle="Comma">
  <tableColumns count="3">
    <tableColumn id="1" xr3:uid="{0C582CD9-54D1-4EF6-A731-78C09CADA709}" name="Trade value" dataDxfId="25" totalsRowDxfId="24" dataCellStyle="Comma"/>
    <tableColumn id="2" xr3:uid="{6A5F3E80-3F49-438A-9386-7000FDB06086}" name=" Sales value" dataDxfId="23" totalsRowDxfId="22" dataCellStyle="Comma"/>
    <tableColumn id="3" xr3:uid="{749A61C9-6EA5-46DC-A5F8-9C0608701304}" name="Total" totalsRowFunction="custom" dataDxfId="21" totalsRowDxfId="20" dataCellStyle="Comma">
      <totalsRowFormula>AI33-AA33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4F549E-7EF1-454E-8F70-BFA2B53F59FF}" name="Table3" displayName="Table3" ref="S4:AE33" totalsRowShown="0" headerRowDxfId="19" headerRowBorderDxfId="18" tableBorderDxfId="17" totalsRowBorderDxfId="16" headerRowCellStyle="Comma">
  <tableColumns count="13">
    <tableColumn id="1" xr3:uid="{1CBF6313-40A0-46FA-BF8A-5CBD306ABE31}" name="Brand"/>
    <tableColumn id="2" xr3:uid="{635EEAC7-9F2F-4533-8268-635C8251C4F0}" name="Stock q-ty jan 2020"/>
    <tableColumn id="3" xr3:uid="{5F07266E-CAE1-44C1-939D-B3D5FA9BD0BC}" name="2020 order"/>
    <tableColumn id="4" xr3:uid="{B25643B4-3A9B-42E9-A23E-3CA9BF86239E}" name="Stock for 25.03.20"/>
    <tableColumn id="5" xr3:uid="{5145F263-A8BC-46CC-8E9A-1CEB8C34D18F}" name="new order "/>
    <tableColumn id="6" xr3:uid="{983978BE-0D58-49F3-B87F-121B1FC4853B}" name="Total" dataDxfId="15" dataCellStyle="Comma"/>
    <tableColumn id="13" xr3:uid="{130E4134-E9EB-42D5-96F5-26F28CE3BDAC}" name="old stock +new order" dataDxfId="14" dataCellStyle="Comma">
      <calculatedColumnFormula>Table3[[#This Row],[new order ]]+Table3[[#This Row],[Stock q-ty jan 2020]]</calculatedColumnFormula>
    </tableColumn>
    <tableColumn id="7" xr3:uid="{1D60AAD9-7ABC-48FC-B90B-6A30F24BD1AB}" name="Price "/>
    <tableColumn id="8" xr3:uid="{F936D904-340A-4BAB-A134-EB4D5FA329C8}" name="2020 value"/>
    <tableColumn id="9" xr3:uid="{AFAB1249-4D88-43D3-8F72-23E2430E44FF}" name="Column2" dataDxfId="13"/>
    <tableColumn id="10" xr3:uid="{8AA8B298-20D3-4B97-A033-E325281E0FAD}" name="Trade q-ty"/>
    <tableColumn id="11" xr3:uid="{2AFC3228-00A0-47AC-AACD-2FC09FA1D3F9}" name=" Sales q-ty"/>
    <tableColumn id="12" xr3:uid="{5346B919-1C53-411C-B3E6-703C1821D5A3}" name="Total2" dataDxfId="12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738DC-AC89-4E37-84A1-ECA3B5B48F36}">
  <dimension ref="A1:J41"/>
  <sheetViews>
    <sheetView tabSelected="1" topLeftCell="G1" zoomScaleNormal="100" workbookViewId="0">
      <selection activeCell="L4" sqref="L4"/>
    </sheetView>
  </sheetViews>
  <sheetFormatPr defaultRowHeight="14.4" x14ac:dyDescent="0.3"/>
  <cols>
    <col min="1" max="1" width="46.88671875" hidden="1" customWidth="1"/>
    <col min="2" max="2" width="15.6640625" hidden="1" customWidth="1"/>
    <col min="3" max="3" width="12" hidden="1" customWidth="1"/>
    <col min="4" max="4" width="16.33203125" hidden="1" customWidth="1"/>
    <col min="5" max="5" width="15.6640625" hidden="1" customWidth="1"/>
    <col min="6" max="6" width="13.5546875" hidden="1" customWidth="1"/>
    <col min="8" max="8" width="5.44140625" customWidth="1"/>
    <col min="9" max="9" width="43.33203125" bestFit="1" customWidth="1"/>
    <col min="10" max="10" width="22.21875" customWidth="1"/>
  </cols>
  <sheetData>
    <row r="1" spans="1:10" ht="15" thickBot="1" x14ac:dyDescent="0.35"/>
    <row r="2" spans="1:10" s="87" customFormat="1" ht="72" x14ac:dyDescent="0.3">
      <c r="A2" s="272" t="s">
        <v>117</v>
      </c>
      <c r="B2" s="152" t="s">
        <v>159</v>
      </c>
      <c r="C2" s="152" t="s">
        <v>160</v>
      </c>
      <c r="D2" s="152" t="s">
        <v>118</v>
      </c>
      <c r="E2" s="273" t="s">
        <v>119</v>
      </c>
      <c r="I2" s="281" t="s">
        <v>162</v>
      </c>
      <c r="J2" s="122" t="s">
        <v>161</v>
      </c>
    </row>
    <row r="3" spans="1:10" ht="43.2" x14ac:dyDescent="0.3">
      <c r="A3" s="274" t="s">
        <v>94</v>
      </c>
      <c r="B3" s="270">
        <v>282</v>
      </c>
      <c r="C3" s="270">
        <v>200</v>
      </c>
      <c r="D3" s="271">
        <f>B3*0.2</f>
        <v>56.400000000000006</v>
      </c>
      <c r="E3" s="275">
        <f>SUM(B3:D3)</f>
        <v>538.4</v>
      </c>
      <c r="F3" s="87" t="s">
        <v>158</v>
      </c>
      <c r="H3" s="73"/>
      <c r="I3" s="274" t="s">
        <v>94</v>
      </c>
      <c r="J3" s="270">
        <v>636</v>
      </c>
    </row>
    <row r="4" spans="1:10" ht="31.8" customHeight="1" x14ac:dyDescent="0.3">
      <c r="A4" s="274" t="s">
        <v>95</v>
      </c>
      <c r="B4" s="270">
        <v>455</v>
      </c>
      <c r="C4" s="270">
        <v>400</v>
      </c>
      <c r="D4" s="271"/>
      <c r="E4" s="275">
        <f t="shared" ref="E4:E12" si="0">SUM(B4:D4)</f>
        <v>855</v>
      </c>
      <c r="F4" s="87" t="s">
        <v>158</v>
      </c>
      <c r="I4" s="274" t="s">
        <v>95</v>
      </c>
      <c r="J4" s="270">
        <v>1013</v>
      </c>
    </row>
    <row r="5" spans="1:10" ht="28.8" x14ac:dyDescent="0.3">
      <c r="A5" s="274" t="s">
        <v>96</v>
      </c>
      <c r="B5" s="270">
        <v>467</v>
      </c>
      <c r="C5" s="270">
        <v>230</v>
      </c>
      <c r="D5" s="271">
        <f t="shared" ref="D5:D12" si="1">B5*0.2</f>
        <v>93.4</v>
      </c>
      <c r="E5" s="275">
        <f t="shared" si="0"/>
        <v>790.4</v>
      </c>
      <c r="I5" s="274" t="s">
        <v>96</v>
      </c>
      <c r="J5" s="270">
        <v>1013</v>
      </c>
    </row>
    <row r="6" spans="1:10" x14ac:dyDescent="0.3">
      <c r="A6" s="276" t="s">
        <v>97</v>
      </c>
      <c r="B6" s="270">
        <v>600</v>
      </c>
      <c r="C6" s="270">
        <v>0</v>
      </c>
      <c r="D6" s="271">
        <f t="shared" si="1"/>
        <v>120</v>
      </c>
      <c r="E6" s="275">
        <f t="shared" si="0"/>
        <v>720</v>
      </c>
      <c r="I6" s="276" t="s">
        <v>97</v>
      </c>
      <c r="J6" s="270">
        <v>1277</v>
      </c>
    </row>
    <row r="7" spans="1:10" x14ac:dyDescent="0.3">
      <c r="A7" s="276" t="s">
        <v>98</v>
      </c>
      <c r="B7" s="270">
        <v>600</v>
      </c>
      <c r="C7" s="270">
        <v>120</v>
      </c>
      <c r="D7" s="271">
        <f t="shared" si="1"/>
        <v>120</v>
      </c>
      <c r="E7" s="275">
        <f t="shared" si="0"/>
        <v>840</v>
      </c>
      <c r="I7" s="276" t="s">
        <v>98</v>
      </c>
      <c r="J7" s="270">
        <v>1305</v>
      </c>
    </row>
    <row r="8" spans="1:10" x14ac:dyDescent="0.3">
      <c r="A8" s="276" t="s">
        <v>99</v>
      </c>
      <c r="B8" s="270">
        <v>1965</v>
      </c>
      <c r="C8" s="270">
        <v>700</v>
      </c>
      <c r="D8" s="271">
        <f t="shared" si="1"/>
        <v>393</v>
      </c>
      <c r="E8" s="275">
        <f t="shared" si="0"/>
        <v>3058</v>
      </c>
      <c r="I8" s="276" t="s">
        <v>99</v>
      </c>
      <c r="J8" s="270">
        <v>5082</v>
      </c>
    </row>
    <row r="9" spans="1:10" x14ac:dyDescent="0.3">
      <c r="A9" s="276" t="s">
        <v>100</v>
      </c>
      <c r="B9" s="270">
        <v>400</v>
      </c>
      <c r="C9" s="270">
        <v>200</v>
      </c>
      <c r="D9" s="271">
        <f t="shared" si="1"/>
        <v>80</v>
      </c>
      <c r="E9" s="275">
        <f t="shared" si="0"/>
        <v>680</v>
      </c>
      <c r="I9" s="276" t="s">
        <v>100</v>
      </c>
      <c r="J9" s="270">
        <v>4582</v>
      </c>
    </row>
    <row r="10" spans="1:10" ht="28.8" x14ac:dyDescent="0.3">
      <c r="A10" s="274" t="s">
        <v>101</v>
      </c>
      <c r="B10" s="270">
        <v>4710</v>
      </c>
      <c r="C10" s="270">
        <v>4000</v>
      </c>
      <c r="D10" s="271">
        <f>B10*0.2</f>
        <v>942</v>
      </c>
      <c r="E10" s="275">
        <f t="shared" si="0"/>
        <v>9652</v>
      </c>
      <c r="I10" s="274" t="s">
        <v>101</v>
      </c>
      <c r="J10" s="270">
        <v>10130</v>
      </c>
    </row>
    <row r="11" spans="1:10" x14ac:dyDescent="0.3">
      <c r="A11" s="276" t="s">
        <v>102</v>
      </c>
      <c r="B11" s="270">
        <v>803</v>
      </c>
      <c r="C11" s="270">
        <v>700</v>
      </c>
      <c r="D11" s="271">
        <f t="shared" si="1"/>
        <v>160.60000000000002</v>
      </c>
      <c r="E11" s="275">
        <f t="shared" si="0"/>
        <v>1663.6</v>
      </c>
      <c r="I11" s="276" t="s">
        <v>102</v>
      </c>
      <c r="J11" s="270">
        <v>2026</v>
      </c>
    </row>
    <row r="12" spans="1:10" x14ac:dyDescent="0.3">
      <c r="A12" s="276" t="s">
        <v>103</v>
      </c>
      <c r="B12" s="270">
        <v>200</v>
      </c>
      <c r="C12" s="270">
        <v>200</v>
      </c>
      <c r="D12" s="271">
        <f t="shared" si="1"/>
        <v>40</v>
      </c>
      <c r="E12" s="275">
        <f t="shared" si="0"/>
        <v>440</v>
      </c>
      <c r="I12" s="276" t="s">
        <v>103</v>
      </c>
      <c r="J12" s="270">
        <v>2115</v>
      </c>
    </row>
    <row r="13" spans="1:10" x14ac:dyDescent="0.3">
      <c r="A13" s="274" t="s">
        <v>135</v>
      </c>
      <c r="B13" s="270"/>
      <c r="C13" s="270">
        <v>160</v>
      </c>
      <c r="D13" s="271"/>
      <c r="E13" s="275"/>
      <c r="I13" s="274" t="s">
        <v>135</v>
      </c>
      <c r="J13" s="270">
        <v>78</v>
      </c>
    </row>
    <row r="14" spans="1:10" x14ac:dyDescent="0.3">
      <c r="A14" s="276" t="s">
        <v>136</v>
      </c>
      <c r="B14" s="270"/>
      <c r="C14" s="270">
        <v>209</v>
      </c>
      <c r="D14" s="271"/>
      <c r="E14" s="275"/>
      <c r="I14" s="276" t="s">
        <v>136</v>
      </c>
      <c r="J14" s="270">
        <v>500</v>
      </c>
    </row>
    <row r="15" spans="1:10" x14ac:dyDescent="0.3">
      <c r="A15" s="276" t="s">
        <v>137</v>
      </c>
      <c r="B15" s="270"/>
      <c r="C15" s="270">
        <v>35</v>
      </c>
      <c r="D15" s="271"/>
      <c r="E15" s="275"/>
      <c r="I15" s="276" t="s">
        <v>137</v>
      </c>
      <c r="J15" s="270">
        <v>106</v>
      </c>
    </row>
    <row r="16" spans="1:10" ht="15" thickBot="1" x14ac:dyDescent="0.35">
      <c r="A16" s="277" t="s">
        <v>138</v>
      </c>
      <c r="B16" s="278"/>
      <c r="C16" s="278">
        <v>270</v>
      </c>
      <c r="D16" s="279"/>
      <c r="E16" s="280"/>
      <c r="I16" s="277" t="s">
        <v>138</v>
      </c>
      <c r="J16" s="278">
        <v>206</v>
      </c>
    </row>
    <row r="23" spans="3:3" s="80" customFormat="1" x14ac:dyDescent="0.3">
      <c r="C23"/>
    </row>
    <row r="41" s="80" customForma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C095-074A-4915-B420-BAA7770F5773}">
  <dimension ref="A2:AD39"/>
  <sheetViews>
    <sheetView topLeftCell="P1" zoomScale="85" zoomScaleNormal="85" workbookViewId="0">
      <selection activeCell="T7" sqref="T7"/>
    </sheetView>
  </sheetViews>
  <sheetFormatPr defaultRowHeight="14.4" x14ac:dyDescent="0.3"/>
  <cols>
    <col min="1" max="1" width="37.109375" customWidth="1"/>
    <col min="2" max="2" width="22.6640625" bestFit="1" customWidth="1"/>
    <col min="3" max="3" width="14.33203125" customWidth="1"/>
    <col min="4" max="4" width="12.5546875" customWidth="1"/>
    <col min="5" max="5" width="10" customWidth="1"/>
    <col min="6" max="6" width="11.33203125" customWidth="1"/>
    <col min="7" max="7" width="4.33203125" customWidth="1"/>
    <col min="8" max="8" width="14.88671875" style="25" customWidth="1"/>
    <col min="9" max="9" width="13.44140625" customWidth="1"/>
    <col min="10" max="11" width="11.33203125" customWidth="1"/>
    <col min="12" max="12" width="10.88671875" customWidth="1"/>
    <col min="13" max="13" width="11.33203125" customWidth="1"/>
    <col min="14" max="14" width="5" customWidth="1"/>
    <col min="15" max="15" width="14.109375" customWidth="1"/>
    <col min="16" max="16" width="6.88671875" customWidth="1"/>
    <col min="17" max="17" width="6.6640625" customWidth="1"/>
    <col min="18" max="18" width="14.109375" customWidth="1"/>
    <col min="19" max="19" width="24.33203125" customWidth="1"/>
    <col min="20" max="20" width="22.33203125" customWidth="1"/>
    <col min="21" max="21" width="18.44140625" bestFit="1" customWidth="1"/>
    <col min="25" max="25" width="5.109375" customWidth="1"/>
    <col min="26" max="26" width="12.44140625" bestFit="1" customWidth="1"/>
  </cols>
  <sheetData>
    <row r="2" spans="1:30" ht="15" thickBot="1" x14ac:dyDescent="0.35">
      <c r="A2" s="77" t="s">
        <v>84</v>
      </c>
      <c r="B2" s="78">
        <v>197585</v>
      </c>
    </row>
    <row r="3" spans="1:30" ht="15" thickBot="1" x14ac:dyDescent="0.35">
      <c r="Q3" s="154"/>
      <c r="R3" s="155"/>
      <c r="S3" s="155"/>
      <c r="T3" s="155"/>
      <c r="U3" s="155"/>
      <c r="V3" s="155"/>
      <c r="W3" s="155"/>
      <c r="X3" s="155"/>
      <c r="Y3" s="156"/>
    </row>
    <row r="4" spans="1:30" ht="15" thickBot="1" x14ac:dyDescent="0.35">
      <c r="A4" s="72" t="s">
        <v>70</v>
      </c>
      <c r="B4" s="72" t="s">
        <v>82</v>
      </c>
      <c r="C4" s="44" t="s">
        <v>71</v>
      </c>
      <c r="D4" s="44" t="s">
        <v>72</v>
      </c>
      <c r="E4" s="44" t="s">
        <v>73</v>
      </c>
      <c r="F4" s="63" t="s">
        <v>75</v>
      </c>
      <c r="H4" s="46" t="s">
        <v>86</v>
      </c>
      <c r="Q4" s="157"/>
      <c r="R4" s="290" t="s">
        <v>140</v>
      </c>
      <c r="S4" s="173" t="s">
        <v>70</v>
      </c>
      <c r="T4" s="121" t="s">
        <v>71</v>
      </c>
      <c r="U4" s="121" t="s">
        <v>72</v>
      </c>
      <c r="V4" s="121" t="s">
        <v>73</v>
      </c>
      <c r="W4" s="124" t="s">
        <v>75</v>
      </c>
      <c r="X4" s="158"/>
      <c r="Y4" s="159"/>
    </row>
    <row r="5" spans="1:30" ht="15" thickBot="1" x14ac:dyDescent="0.35">
      <c r="A5" s="60" t="s">
        <v>25</v>
      </c>
      <c r="B5" s="76">
        <v>746.50349650349654</v>
      </c>
      <c r="C5" s="61">
        <v>80</v>
      </c>
      <c r="D5" s="61">
        <v>10</v>
      </c>
      <c r="E5" s="61">
        <v>10</v>
      </c>
      <c r="F5" s="64">
        <f>SUM(C5:E5)</f>
        <v>100</v>
      </c>
      <c r="G5" s="110">
        <v>65</v>
      </c>
      <c r="H5" s="46">
        <f>B5*F5</f>
        <v>74650.349650349657</v>
      </c>
      <c r="Q5" s="157"/>
      <c r="R5" s="291"/>
      <c r="S5" s="236" t="s">
        <v>25</v>
      </c>
      <c r="T5" s="114">
        <f>W5*0.8</f>
        <v>52</v>
      </c>
      <c r="U5" s="114">
        <f>W5*0.1</f>
        <v>6.5</v>
      </c>
      <c r="V5" s="114">
        <f>W5*0.1</f>
        <v>6.5</v>
      </c>
      <c r="W5" s="118">
        <v>65</v>
      </c>
      <c r="X5" s="158"/>
      <c r="Y5" s="159"/>
    </row>
    <row r="6" spans="1:30" ht="15" thickBot="1" x14ac:dyDescent="0.35">
      <c r="A6" s="62" t="s">
        <v>74</v>
      </c>
      <c r="B6" s="76">
        <v>932.59615384615381</v>
      </c>
      <c r="C6" s="61">
        <v>51</v>
      </c>
      <c r="D6" s="61">
        <v>7</v>
      </c>
      <c r="E6" s="61">
        <v>12</v>
      </c>
      <c r="F6" s="64">
        <f>SUM(C6:E6)</f>
        <v>70</v>
      </c>
      <c r="G6" s="110">
        <v>70</v>
      </c>
      <c r="H6" s="46">
        <f>B6*F6</f>
        <v>65281.730769230766</v>
      </c>
      <c r="I6" s="84">
        <f>(C6+C7)/(F6+F7)</f>
        <v>0.70512820512820518</v>
      </c>
      <c r="Q6" s="157"/>
      <c r="R6" s="291"/>
      <c r="S6" s="236" t="s">
        <v>74</v>
      </c>
      <c r="T6" s="114">
        <f>W6*0.71</f>
        <v>49.699999999999996</v>
      </c>
      <c r="U6" s="114">
        <f>W6*0.1</f>
        <v>7</v>
      </c>
      <c r="V6" s="114">
        <f>W6*0.19</f>
        <v>13.3</v>
      </c>
      <c r="W6" s="118">
        <v>70</v>
      </c>
      <c r="X6" s="158"/>
      <c r="Y6" s="159"/>
    </row>
    <row r="7" spans="1:30" ht="15" thickBot="1" x14ac:dyDescent="0.35">
      <c r="A7" s="62" t="s">
        <v>9</v>
      </c>
      <c r="B7" s="76">
        <v>932.59615384615381</v>
      </c>
      <c r="C7" s="61">
        <v>4</v>
      </c>
      <c r="D7" s="61">
        <v>1</v>
      </c>
      <c r="E7" s="61">
        <v>3</v>
      </c>
      <c r="F7" s="64">
        <f t="shared" ref="F7" si="0">SUM(C7:E7)</f>
        <v>8</v>
      </c>
      <c r="G7" t="s">
        <v>126</v>
      </c>
      <c r="H7" s="46">
        <f>B7*F7</f>
        <v>7460.7692307692305</v>
      </c>
      <c r="Q7" s="157"/>
      <c r="R7" s="292"/>
      <c r="S7" s="237" t="s">
        <v>9</v>
      </c>
      <c r="T7" s="117"/>
      <c r="U7" s="117"/>
      <c r="V7" s="117"/>
      <c r="W7" s="119"/>
      <c r="X7" s="158"/>
      <c r="Y7" s="159"/>
    </row>
    <row r="8" spans="1:30" x14ac:dyDescent="0.3">
      <c r="C8" s="79">
        <f>SUM(C5:C7)</f>
        <v>135</v>
      </c>
      <c r="D8" s="79">
        <f>SUM(D5:D7)</f>
        <v>18</v>
      </c>
      <c r="E8" s="79">
        <f>SUM(E5:E7)</f>
        <v>25</v>
      </c>
      <c r="F8" s="79">
        <f>SUM(C8:E8)</f>
        <v>178</v>
      </c>
      <c r="H8" s="74">
        <f>SUM(H5:H7)</f>
        <v>147392.84965034964</v>
      </c>
      <c r="I8" s="75">
        <f>B2-H8</f>
        <v>50192.150349650357</v>
      </c>
      <c r="J8" t="s">
        <v>83</v>
      </c>
      <c r="Q8" s="157"/>
      <c r="R8" s="158"/>
      <c r="S8" s="158"/>
      <c r="T8" s="160">
        <f>SUM(T5:T6)</f>
        <v>101.69999999999999</v>
      </c>
      <c r="U8" s="160">
        <f>SUM(U5:U6)</f>
        <v>13.5</v>
      </c>
      <c r="V8" s="160">
        <f>SUM(V5:V6)</f>
        <v>19.8</v>
      </c>
      <c r="W8" s="160">
        <f>SUM(W5:W6)</f>
        <v>135</v>
      </c>
      <c r="X8" s="158"/>
      <c r="Y8" s="159"/>
    </row>
    <row r="9" spans="1:30" x14ac:dyDescent="0.3">
      <c r="C9" s="26">
        <f>C8/$F$8</f>
        <v>0.7584269662921348</v>
      </c>
      <c r="D9" s="26">
        <f>D8/$F$8</f>
        <v>0.10112359550561797</v>
      </c>
      <c r="E9" s="26">
        <f>E8/$F$8</f>
        <v>0.1404494382022472</v>
      </c>
      <c r="Q9" s="157"/>
      <c r="R9" s="158"/>
      <c r="S9" s="158"/>
      <c r="T9" s="161">
        <f>T8/$W$8</f>
        <v>0.7533333333333333</v>
      </c>
      <c r="U9" s="161">
        <f>U8/$W$8</f>
        <v>0.1</v>
      </c>
      <c r="V9" s="161">
        <f>V8/$W$8</f>
        <v>0.14666666666666667</v>
      </c>
      <c r="W9" s="158"/>
      <c r="X9" s="162"/>
      <c r="Y9" s="163"/>
    </row>
    <row r="10" spans="1:30" x14ac:dyDescent="0.3">
      <c r="C10" s="82"/>
      <c r="D10" s="82"/>
      <c r="E10" s="82"/>
      <c r="F10" s="82"/>
      <c r="H10" s="79"/>
      <c r="I10" s="79"/>
      <c r="J10" s="73"/>
      <c r="K10" s="73"/>
      <c r="M10" s="82"/>
      <c r="N10" s="28"/>
      <c r="Q10" s="157"/>
      <c r="R10" s="158"/>
      <c r="S10" s="158"/>
      <c r="T10" s="158"/>
      <c r="U10" s="158"/>
      <c r="V10" s="161"/>
      <c r="W10" s="161"/>
      <c r="X10" s="161"/>
      <c r="Y10" s="164"/>
      <c r="AA10" s="33"/>
      <c r="AB10" s="33"/>
      <c r="AC10" s="33"/>
      <c r="AD10" s="33"/>
    </row>
    <row r="11" spans="1:30" ht="15" thickBot="1" x14ac:dyDescent="0.35">
      <c r="Q11" s="157"/>
      <c r="R11" s="158"/>
      <c r="S11" s="158"/>
      <c r="T11" s="158"/>
      <c r="U11" s="158"/>
      <c r="V11" s="158"/>
      <c r="W11" s="158"/>
      <c r="X11" s="158"/>
      <c r="Y11" s="159"/>
    </row>
    <row r="12" spans="1:30" x14ac:dyDescent="0.3">
      <c r="A12" s="66" t="s">
        <v>110</v>
      </c>
      <c r="B12" s="44" t="s">
        <v>104</v>
      </c>
      <c r="C12" s="44" t="s">
        <v>105</v>
      </c>
      <c r="D12" s="44" t="s">
        <v>33</v>
      </c>
      <c r="E12" s="63" t="s">
        <v>112</v>
      </c>
      <c r="F12" s="44" t="s">
        <v>111</v>
      </c>
      <c r="H12"/>
      <c r="Q12" s="157"/>
      <c r="R12" s="287" t="s">
        <v>139</v>
      </c>
      <c r="S12" s="120" t="s">
        <v>110</v>
      </c>
      <c r="T12" s="121" t="s">
        <v>147</v>
      </c>
      <c r="U12" s="121" t="s">
        <v>146</v>
      </c>
      <c r="V12" s="121" t="s">
        <v>33</v>
      </c>
      <c r="W12" s="122" t="s">
        <v>148</v>
      </c>
      <c r="X12" s="123" t="s">
        <v>149</v>
      </c>
      <c r="Y12" s="159"/>
    </row>
    <row r="13" spans="1:30" x14ac:dyDescent="0.3">
      <c r="A13" s="44" t="s">
        <v>106</v>
      </c>
      <c r="B13" s="44"/>
      <c r="C13" s="44">
        <v>128</v>
      </c>
      <c r="D13" s="44">
        <f>SUM(B13:C13)</f>
        <v>128</v>
      </c>
      <c r="E13" s="44">
        <v>1</v>
      </c>
      <c r="F13" s="44">
        <f>D13*E13</f>
        <v>128</v>
      </c>
      <c r="H13"/>
      <c r="Q13" s="157"/>
      <c r="R13" s="288"/>
      <c r="S13" s="231" t="s">
        <v>106</v>
      </c>
      <c r="T13" s="221"/>
      <c r="U13" s="221">
        <v>128</v>
      </c>
      <c r="V13" s="221">
        <f>SUM(T13:U13)</f>
        <v>128</v>
      </c>
      <c r="W13" s="221">
        <v>1</v>
      </c>
      <c r="X13" s="222">
        <f>V13*W13</f>
        <v>128</v>
      </c>
      <c r="Y13" s="159"/>
    </row>
    <row r="14" spans="1:30" x14ac:dyDescent="0.3">
      <c r="A14" s="44" t="s">
        <v>107</v>
      </c>
      <c r="B14" s="44">
        <v>100</v>
      </c>
      <c r="C14" s="44">
        <v>26</v>
      </c>
      <c r="D14" s="44">
        <f t="shared" ref="D14:D15" si="1">SUM(B14:C14)</f>
        <v>126</v>
      </c>
      <c r="E14" s="44">
        <v>2</v>
      </c>
      <c r="F14" s="44">
        <f>D14*E14</f>
        <v>252</v>
      </c>
      <c r="H14"/>
      <c r="Q14" s="157"/>
      <c r="R14" s="288"/>
      <c r="S14" s="231" t="s">
        <v>107</v>
      </c>
      <c r="T14" s="221">
        <v>100</v>
      </c>
      <c r="U14" s="221">
        <v>26</v>
      </c>
      <c r="V14" s="221">
        <f t="shared" ref="V14:V15" si="2">SUM(T14:U14)</f>
        <v>126</v>
      </c>
      <c r="W14" s="221">
        <v>2</v>
      </c>
      <c r="X14" s="222">
        <f>V14*W14</f>
        <v>252</v>
      </c>
      <c r="Y14" s="159"/>
    </row>
    <row r="15" spans="1:30" x14ac:dyDescent="0.3">
      <c r="A15" s="44" t="s">
        <v>108</v>
      </c>
      <c r="B15" s="44"/>
      <c r="C15" s="44">
        <v>25</v>
      </c>
      <c r="D15" s="44">
        <f t="shared" si="1"/>
        <v>25</v>
      </c>
      <c r="E15" s="44">
        <v>3</v>
      </c>
      <c r="F15" s="44">
        <f>D15*E15</f>
        <v>75</v>
      </c>
      <c r="H15"/>
      <c r="Q15" s="157"/>
      <c r="R15" s="288"/>
      <c r="S15" s="231" t="s">
        <v>108</v>
      </c>
      <c r="T15" s="221"/>
      <c r="U15" s="221">
        <v>25</v>
      </c>
      <c r="V15" s="221">
        <f t="shared" si="2"/>
        <v>25</v>
      </c>
      <c r="W15" s="221">
        <v>3</v>
      </c>
      <c r="X15" s="222">
        <f>V15*W15</f>
        <v>75</v>
      </c>
      <c r="Y15" s="159"/>
    </row>
    <row r="16" spans="1:30" ht="15" thickBot="1" x14ac:dyDescent="0.35">
      <c r="A16" s="44" t="s">
        <v>109</v>
      </c>
      <c r="B16" s="44"/>
      <c r="C16" s="44">
        <v>3</v>
      </c>
      <c r="D16" s="44">
        <f>SUM(B16:C16)</f>
        <v>3</v>
      </c>
      <c r="E16" s="44">
        <v>4</v>
      </c>
      <c r="F16" s="44">
        <f>D16*E16</f>
        <v>12</v>
      </c>
      <c r="H16"/>
      <c r="Q16" s="157"/>
      <c r="R16" s="289"/>
      <c r="S16" s="232" t="s">
        <v>109</v>
      </c>
      <c r="T16" s="223"/>
      <c r="U16" s="223">
        <v>3</v>
      </c>
      <c r="V16" s="223">
        <f>SUM(T16:U16)</f>
        <v>3</v>
      </c>
      <c r="W16" s="223">
        <v>4</v>
      </c>
      <c r="X16" s="224">
        <f>V16*W16</f>
        <v>12</v>
      </c>
      <c r="Y16" s="159"/>
    </row>
    <row r="17" spans="1:30" x14ac:dyDescent="0.3">
      <c r="B17" s="73">
        <f>SUM(B13:B16)</f>
        <v>100</v>
      </c>
      <c r="C17" s="73">
        <f t="shared" ref="C17" si="3">SUM(C13:C16)</f>
        <v>182</v>
      </c>
      <c r="D17" s="73">
        <f>SUM(D13:D16)</f>
        <v>282</v>
      </c>
      <c r="E17" s="73"/>
      <c r="F17" s="73">
        <f>SUM(F13:F16)</f>
        <v>467</v>
      </c>
      <c r="H17"/>
      <c r="Q17" s="157"/>
      <c r="R17" s="158"/>
      <c r="S17" s="158"/>
      <c r="T17" s="230">
        <f>SUM(T13:T16)</f>
        <v>100</v>
      </c>
      <c r="U17" s="230">
        <f t="shared" ref="U17" si="4">SUM(U13:U16)</f>
        <v>182</v>
      </c>
      <c r="V17" s="230">
        <f>SUM(V13:V16)</f>
        <v>282</v>
      </c>
      <c r="W17" s="230"/>
      <c r="X17" s="230">
        <f>SUM(X13:X16)</f>
        <v>467</v>
      </c>
      <c r="Y17" s="159"/>
    </row>
    <row r="18" spans="1:30" x14ac:dyDescent="0.3">
      <c r="Q18" s="157"/>
      <c r="R18" s="158"/>
      <c r="S18" s="158"/>
      <c r="T18" s="158"/>
      <c r="U18" s="158"/>
      <c r="V18" s="158"/>
      <c r="W18" s="158"/>
      <c r="X18" s="158"/>
      <c r="Y18" s="159"/>
    </row>
    <row r="19" spans="1:30" x14ac:dyDescent="0.3">
      <c r="Q19" s="157"/>
      <c r="R19" s="158"/>
      <c r="S19" s="158"/>
      <c r="T19" s="158"/>
      <c r="U19" s="158"/>
      <c r="V19" s="158"/>
      <c r="W19" s="158"/>
      <c r="X19" s="158"/>
      <c r="Y19" s="159"/>
    </row>
    <row r="20" spans="1:30" ht="15" thickBot="1" x14ac:dyDescent="0.35">
      <c r="A20" s="286" t="s">
        <v>120</v>
      </c>
      <c r="B20" s="286"/>
      <c r="C20" s="286"/>
      <c r="D20" s="286"/>
      <c r="E20" s="286"/>
      <c r="F20" s="286"/>
      <c r="H20" s="49" t="s">
        <v>113</v>
      </c>
      <c r="J20" s="85" t="s">
        <v>93</v>
      </c>
      <c r="K20" s="83"/>
      <c r="Q20" s="157"/>
      <c r="R20" s="158"/>
      <c r="S20" s="158"/>
      <c r="T20" s="158"/>
      <c r="U20" s="175" t="s">
        <v>145</v>
      </c>
      <c r="V20" s="158"/>
      <c r="W20" s="158"/>
      <c r="X20" s="158"/>
      <c r="Y20" s="159"/>
    </row>
    <row r="21" spans="1:30" x14ac:dyDescent="0.3">
      <c r="A21" s="44" t="s">
        <v>87</v>
      </c>
      <c r="B21" s="44" t="s">
        <v>88</v>
      </c>
      <c r="C21" s="44" t="s">
        <v>71</v>
      </c>
      <c r="D21" s="44" t="s">
        <v>72</v>
      </c>
      <c r="E21" s="44" t="s">
        <v>73</v>
      </c>
      <c r="F21" s="63" t="s">
        <v>33</v>
      </c>
      <c r="J21" s="44" t="s">
        <v>71</v>
      </c>
      <c r="K21" s="44" t="s">
        <v>72</v>
      </c>
      <c r="L21" s="44" t="s">
        <v>73</v>
      </c>
      <c r="M21" s="63" t="s">
        <v>75</v>
      </c>
      <c r="O21" s="50" t="s">
        <v>28</v>
      </c>
      <c r="Q21" s="157"/>
      <c r="R21" s="290" t="s">
        <v>140</v>
      </c>
      <c r="S21" s="120" t="s">
        <v>144</v>
      </c>
      <c r="T21" s="120" t="s">
        <v>127</v>
      </c>
      <c r="U21" s="121" t="s">
        <v>71</v>
      </c>
      <c r="V21" s="121" t="s">
        <v>72</v>
      </c>
      <c r="W21" s="121" t="s">
        <v>73</v>
      </c>
      <c r="X21" s="124" t="s">
        <v>128</v>
      </c>
      <c r="Y21" s="159"/>
    </row>
    <row r="22" spans="1:30" ht="15" customHeight="1" x14ac:dyDescent="0.3">
      <c r="A22" s="44" t="s">
        <v>76</v>
      </c>
      <c r="B22" s="44" t="s">
        <v>89</v>
      </c>
      <c r="C22" s="81">
        <v>11</v>
      </c>
      <c r="D22" s="81">
        <v>17</v>
      </c>
      <c r="E22" s="81">
        <v>17</v>
      </c>
      <c r="F22" s="81">
        <f t="shared" ref="F22:F25" si="5">SUM(C22:E22)</f>
        <v>45</v>
      </c>
      <c r="H22" s="61">
        <v>9</v>
      </c>
      <c r="J22" s="61">
        <f>(C6*2)+C7</f>
        <v>106</v>
      </c>
      <c r="K22" s="61">
        <f>(D6*2)+D7</f>
        <v>15</v>
      </c>
      <c r="L22" s="61">
        <f>(E6*2)+E7</f>
        <v>27</v>
      </c>
      <c r="M22" s="61">
        <f>SUM(J22:L22)</f>
        <v>148</v>
      </c>
      <c r="O22" s="153">
        <f>SUM(F22,H22,M22)</f>
        <v>202</v>
      </c>
      <c r="P22" s="113"/>
      <c r="Q22" s="165"/>
      <c r="R22" s="291"/>
      <c r="S22" s="233">
        <v>27</v>
      </c>
      <c r="T22" s="225">
        <v>30</v>
      </c>
      <c r="U22" s="225">
        <f>T22*0.72</f>
        <v>21.599999999999998</v>
      </c>
      <c r="V22" s="225">
        <f>T22*0.101</f>
        <v>3.0300000000000002</v>
      </c>
      <c r="W22" s="225">
        <f>T22*0.182</f>
        <v>5.46</v>
      </c>
      <c r="X22" s="226">
        <f>T22+S22</f>
        <v>57</v>
      </c>
      <c r="Y22" s="166"/>
      <c r="Z22" s="84"/>
      <c r="AA22" s="84"/>
      <c r="AB22" s="33"/>
      <c r="AC22" s="33"/>
    </row>
    <row r="23" spans="1:30" x14ac:dyDescent="0.3">
      <c r="A23" s="44" t="s">
        <v>77</v>
      </c>
      <c r="B23" s="44" t="s">
        <v>90</v>
      </c>
      <c r="C23" s="81">
        <v>83</v>
      </c>
      <c r="D23" s="81">
        <v>83</v>
      </c>
      <c r="E23" s="81">
        <v>83</v>
      </c>
      <c r="F23" s="81">
        <f t="shared" si="5"/>
        <v>249</v>
      </c>
      <c r="H23" s="61">
        <v>50</v>
      </c>
      <c r="J23" s="61">
        <v>80</v>
      </c>
      <c r="K23" s="61">
        <v>10</v>
      </c>
      <c r="L23" s="61">
        <v>10</v>
      </c>
      <c r="M23" s="61">
        <f t="shared" ref="M23:M25" si="6">SUM(J23:L23)</f>
        <v>100</v>
      </c>
      <c r="O23" s="153">
        <f t="shared" ref="O23:O25" si="7">SUM(F23,H23,M23)</f>
        <v>399</v>
      </c>
      <c r="P23" s="113"/>
      <c r="Q23" s="165"/>
      <c r="R23" s="291"/>
      <c r="S23" s="233">
        <v>59</v>
      </c>
      <c r="T23" s="225">
        <v>150</v>
      </c>
      <c r="U23" s="225">
        <f>T23*0.8</f>
        <v>120</v>
      </c>
      <c r="V23" s="225">
        <f>T23*0.1</f>
        <v>15</v>
      </c>
      <c r="W23" s="225">
        <f>T23*0.1</f>
        <v>15</v>
      </c>
      <c r="X23" s="226">
        <f>T23+S23</f>
        <v>209</v>
      </c>
      <c r="Y23" s="166"/>
      <c r="Z23" s="84"/>
      <c r="AA23" s="84"/>
      <c r="AB23" s="33"/>
      <c r="AC23" s="33"/>
    </row>
    <row r="24" spans="1:30" x14ac:dyDescent="0.3">
      <c r="A24" s="44" t="s">
        <v>78</v>
      </c>
      <c r="B24" s="44" t="s">
        <v>91</v>
      </c>
      <c r="C24" s="81">
        <v>6</v>
      </c>
      <c r="D24" s="81">
        <v>17</v>
      </c>
      <c r="E24" s="81">
        <v>14</v>
      </c>
      <c r="F24" s="81">
        <f t="shared" si="5"/>
        <v>37</v>
      </c>
      <c r="H24" s="61">
        <v>7</v>
      </c>
      <c r="J24" s="44"/>
      <c r="K24" s="44"/>
      <c r="L24" s="44"/>
      <c r="M24" s="44">
        <f t="shared" si="6"/>
        <v>0</v>
      </c>
      <c r="O24" s="153">
        <f t="shared" si="7"/>
        <v>44</v>
      </c>
      <c r="P24" s="113"/>
      <c r="Q24" s="165"/>
      <c r="R24" s="291"/>
      <c r="S24" s="233">
        <v>5</v>
      </c>
      <c r="T24" s="225">
        <v>30</v>
      </c>
      <c r="U24" s="225">
        <f>T24*0.16</f>
        <v>4.8</v>
      </c>
      <c r="V24" s="225">
        <f>T24*0.46</f>
        <v>13.8</v>
      </c>
      <c r="W24" s="225">
        <f>T24*0.38</f>
        <v>11.4</v>
      </c>
      <c r="X24" s="227">
        <f>T24+S24</f>
        <v>35</v>
      </c>
      <c r="Y24" s="166"/>
      <c r="Z24" s="84"/>
      <c r="AA24" s="84"/>
      <c r="AB24" s="33"/>
      <c r="AC24" s="33"/>
    </row>
    <row r="25" spans="1:30" ht="15" thickBot="1" x14ac:dyDescent="0.35">
      <c r="A25" s="44" t="s">
        <v>79</v>
      </c>
      <c r="B25" s="44" t="s">
        <v>92</v>
      </c>
      <c r="C25" s="81">
        <v>39</v>
      </c>
      <c r="D25" s="81">
        <v>44</v>
      </c>
      <c r="E25" s="81">
        <v>53</v>
      </c>
      <c r="F25" s="81">
        <f t="shared" si="5"/>
        <v>136</v>
      </c>
      <c r="H25" s="61">
        <v>27</v>
      </c>
      <c r="J25" s="46"/>
      <c r="K25" s="44"/>
      <c r="L25" s="44"/>
      <c r="M25" s="44">
        <f t="shared" si="6"/>
        <v>0</v>
      </c>
      <c r="O25" s="153">
        <f t="shared" si="7"/>
        <v>163</v>
      </c>
      <c r="P25" s="113"/>
      <c r="Q25" s="165"/>
      <c r="R25" s="292"/>
      <c r="S25" s="234">
        <v>110</v>
      </c>
      <c r="T25" s="228">
        <v>80</v>
      </c>
      <c r="U25" s="228">
        <f>T25*0.29</f>
        <v>23.2</v>
      </c>
      <c r="V25" s="228">
        <f>T25*0.32</f>
        <v>25.6</v>
      </c>
      <c r="W25" s="228">
        <f>T25*0.39</f>
        <v>31.200000000000003</v>
      </c>
      <c r="X25" s="229">
        <f>T25+S25</f>
        <v>190</v>
      </c>
      <c r="Y25" s="166"/>
      <c r="Z25" s="84"/>
      <c r="AA25" s="84"/>
      <c r="AB25" s="33"/>
      <c r="AC25" s="33"/>
    </row>
    <row r="26" spans="1:30" x14ac:dyDescent="0.3">
      <c r="C26" s="82">
        <f>SUM(C22:C25)</f>
        <v>139</v>
      </c>
      <c r="D26" s="82">
        <f t="shared" ref="D26:E26" si="8">SUM(D22:D25)</f>
        <v>161</v>
      </c>
      <c r="E26" s="82">
        <f t="shared" si="8"/>
        <v>167</v>
      </c>
      <c r="F26" s="82">
        <f>SUM(C26:E26)</f>
        <v>467</v>
      </c>
      <c r="H26" s="86">
        <f>SUM(H22:H25)</f>
        <v>93</v>
      </c>
      <c r="J26" s="79">
        <f>SUM(J22:J25)</f>
        <v>186</v>
      </c>
      <c r="K26" s="79">
        <f>SUM(K22:K25)</f>
        <v>25</v>
      </c>
      <c r="L26" s="73">
        <f t="shared" ref="L26:M26" si="9">SUM(L22:L25)</f>
        <v>37</v>
      </c>
      <c r="M26" s="73">
        <f t="shared" si="9"/>
        <v>248</v>
      </c>
      <c r="O26" s="82">
        <f>SUM(O22:O25)</f>
        <v>808</v>
      </c>
      <c r="P26" s="82"/>
      <c r="Q26" s="167"/>
      <c r="R26" s="158"/>
      <c r="S26" s="230">
        <f>SUM(S22:S25)</f>
        <v>201</v>
      </c>
      <c r="T26" s="230">
        <f>SUM(T22:T25)</f>
        <v>290</v>
      </c>
      <c r="U26" s="235">
        <f>SUM(U22:U25)</f>
        <v>169.6</v>
      </c>
      <c r="V26" s="235">
        <f>SUM(V22:V25)</f>
        <v>57.430000000000007</v>
      </c>
      <c r="W26" s="235">
        <f t="shared" ref="W26:X26" si="10">SUM(W22:W25)</f>
        <v>63.06</v>
      </c>
      <c r="X26" s="235">
        <f t="shared" si="10"/>
        <v>491</v>
      </c>
      <c r="Y26" s="164"/>
      <c r="AA26" s="33"/>
      <c r="AB26" s="33"/>
      <c r="AC26" s="33"/>
      <c r="AD26" s="33"/>
    </row>
    <row r="27" spans="1:30" x14ac:dyDescent="0.3">
      <c r="C27" s="112">
        <f>C25/$F$25</f>
        <v>0.28676470588235292</v>
      </c>
      <c r="D27" s="112">
        <f t="shared" ref="D27:F27" si="11">D25/$F$25</f>
        <v>0.3235294117647059</v>
      </c>
      <c r="E27" s="112">
        <f t="shared" si="11"/>
        <v>0.38970588235294118</v>
      </c>
      <c r="F27" s="112">
        <f t="shared" si="11"/>
        <v>1</v>
      </c>
      <c r="H27" s="86"/>
      <c r="J27" s="43">
        <f>J22/M22</f>
        <v>0.71621621621621623</v>
      </c>
      <c r="K27" s="111">
        <f>K22/M22</f>
        <v>0.10135135135135136</v>
      </c>
      <c r="L27" s="73">
        <f>L22/M22</f>
        <v>0.18243243243243243</v>
      </c>
      <c r="M27" s="73"/>
      <c r="O27" s="82"/>
      <c r="P27" s="82"/>
      <c r="Q27" s="167"/>
      <c r="R27" s="158"/>
      <c r="S27" s="168"/>
      <c r="T27" s="168"/>
      <c r="U27" s="158"/>
      <c r="V27" s="161"/>
      <c r="W27" s="169"/>
      <c r="X27" s="161"/>
      <c r="Y27" s="164"/>
      <c r="AA27" s="33"/>
      <c r="AB27" s="33"/>
      <c r="AC27" s="33"/>
      <c r="AD27" s="33"/>
    </row>
    <row r="28" spans="1:30" ht="15" thickBot="1" x14ac:dyDescent="0.35">
      <c r="C28" s="82"/>
      <c r="D28" s="82"/>
      <c r="E28" s="82"/>
      <c r="F28" s="82"/>
      <c r="H28" s="86"/>
      <c r="J28" s="43">
        <f>J23/$M$23</f>
        <v>0.8</v>
      </c>
      <c r="K28" s="43">
        <f t="shared" ref="K28:L28" si="12">K23/$M$23</f>
        <v>0.1</v>
      </c>
      <c r="L28" s="43">
        <f t="shared" si="12"/>
        <v>0.1</v>
      </c>
      <c r="M28" s="73"/>
      <c r="O28" s="82"/>
      <c r="P28" s="82"/>
      <c r="Q28" s="167"/>
      <c r="R28" s="158"/>
      <c r="S28" s="168"/>
      <c r="T28" s="168"/>
      <c r="U28" s="158"/>
      <c r="V28" s="161"/>
      <c r="W28" s="169"/>
      <c r="X28" s="161"/>
      <c r="Y28" s="164"/>
      <c r="AA28" s="33"/>
      <c r="AB28" s="33"/>
      <c r="AC28" s="33"/>
      <c r="AD28" s="33"/>
    </row>
    <row r="29" spans="1:30" x14ac:dyDescent="0.3">
      <c r="A29" s="50" t="s">
        <v>114</v>
      </c>
      <c r="B29" s="50" t="s">
        <v>115</v>
      </c>
      <c r="C29" s="50" t="s">
        <v>116</v>
      </c>
      <c r="D29" s="50" t="s">
        <v>33</v>
      </c>
      <c r="Q29" s="157"/>
      <c r="R29" s="290" t="s">
        <v>140</v>
      </c>
      <c r="S29" s="120" t="s">
        <v>114</v>
      </c>
      <c r="T29" s="120" t="s">
        <v>142</v>
      </c>
      <c r="U29" s="120" t="s">
        <v>143</v>
      </c>
      <c r="V29" s="174" t="s">
        <v>33</v>
      </c>
      <c r="W29" s="158"/>
      <c r="X29" s="158"/>
      <c r="Y29" s="159"/>
    </row>
    <row r="30" spans="1:30" ht="15" customHeight="1" x14ac:dyDescent="0.3">
      <c r="A30" s="44" t="s">
        <v>106</v>
      </c>
      <c r="B30" s="44">
        <v>128</v>
      </c>
      <c r="C30" s="44">
        <v>108</v>
      </c>
      <c r="D30" s="44">
        <f>SUM(B30:C30)</f>
        <v>236</v>
      </c>
      <c r="Q30" s="157"/>
      <c r="R30" s="291"/>
      <c r="S30" s="231" t="s">
        <v>106</v>
      </c>
      <c r="T30" s="221">
        <v>128</v>
      </c>
      <c r="U30" s="221">
        <v>65</v>
      </c>
      <c r="V30" s="222">
        <f>SUM(T30:U30)</f>
        <v>193</v>
      </c>
      <c r="W30" s="158"/>
      <c r="X30" s="158"/>
      <c r="Y30" s="159"/>
    </row>
    <row r="31" spans="1:30" x14ac:dyDescent="0.3">
      <c r="A31" s="44" t="s">
        <v>107</v>
      </c>
      <c r="B31" s="44">
        <v>126</v>
      </c>
      <c r="C31" s="44">
        <v>70</v>
      </c>
      <c r="D31" s="44">
        <f t="shared" ref="D31:D33" si="13">SUM(B31:C31)</f>
        <v>196</v>
      </c>
      <c r="Q31" s="157"/>
      <c r="R31" s="291"/>
      <c r="S31" s="231" t="s">
        <v>107</v>
      </c>
      <c r="T31" s="221">
        <v>126</v>
      </c>
      <c r="U31" s="221">
        <v>70</v>
      </c>
      <c r="V31" s="222">
        <f t="shared" ref="V31:V33" si="14">SUM(T31:U31)</f>
        <v>196</v>
      </c>
      <c r="W31" s="158"/>
      <c r="X31" s="158"/>
      <c r="Y31" s="159"/>
    </row>
    <row r="32" spans="1:30" x14ac:dyDescent="0.3">
      <c r="A32" s="44" t="s">
        <v>108</v>
      </c>
      <c r="B32" s="44">
        <v>25</v>
      </c>
      <c r="C32" s="44"/>
      <c r="D32" s="44">
        <f t="shared" si="13"/>
        <v>25</v>
      </c>
      <c r="Q32" s="157"/>
      <c r="R32" s="291"/>
      <c r="S32" s="231" t="s">
        <v>108</v>
      </c>
      <c r="T32" s="221">
        <v>25</v>
      </c>
      <c r="U32" s="221"/>
      <c r="V32" s="222">
        <f t="shared" si="14"/>
        <v>25</v>
      </c>
      <c r="W32" s="158"/>
      <c r="X32" s="158"/>
      <c r="Y32" s="159"/>
    </row>
    <row r="33" spans="1:25" ht="15" thickBot="1" x14ac:dyDescent="0.35">
      <c r="A33" s="44" t="s">
        <v>109</v>
      </c>
      <c r="B33" s="44">
        <v>3</v>
      </c>
      <c r="C33" s="44"/>
      <c r="D33" s="44">
        <f t="shared" si="13"/>
        <v>3</v>
      </c>
      <c r="Q33" s="157"/>
      <c r="R33" s="292"/>
      <c r="S33" s="232" t="s">
        <v>109</v>
      </c>
      <c r="T33" s="223">
        <v>3</v>
      </c>
      <c r="U33" s="223"/>
      <c r="V33" s="224">
        <f t="shared" si="14"/>
        <v>3</v>
      </c>
      <c r="W33" s="158"/>
      <c r="X33" s="158"/>
      <c r="Y33" s="159"/>
    </row>
    <row r="34" spans="1:25" x14ac:dyDescent="0.3">
      <c r="B34" s="73">
        <f>SUM(B30:B33)</f>
        <v>282</v>
      </c>
      <c r="C34" s="73">
        <f>SUM(C30:C33)</f>
        <v>178</v>
      </c>
      <c r="D34" s="73">
        <f>SUM(B34:C34)</f>
        <v>460</v>
      </c>
      <c r="Q34" s="157"/>
      <c r="R34" s="158"/>
      <c r="S34" s="230"/>
      <c r="T34" s="230">
        <f>SUM(T30:T33)</f>
        <v>282</v>
      </c>
      <c r="U34" s="230">
        <f>SUM(U30:U33)</f>
        <v>135</v>
      </c>
      <c r="V34" s="230">
        <f>SUM(T34:U34)</f>
        <v>417</v>
      </c>
      <c r="W34" s="158"/>
      <c r="X34" s="158"/>
      <c r="Y34" s="159"/>
    </row>
    <row r="35" spans="1:25" x14ac:dyDescent="0.3">
      <c r="Q35" s="157"/>
      <c r="R35" s="158"/>
      <c r="S35" s="158"/>
      <c r="T35" s="158"/>
      <c r="U35" s="158"/>
      <c r="V35" s="158"/>
      <c r="W35" s="158"/>
      <c r="X35" s="158"/>
      <c r="Y35" s="159"/>
    </row>
    <row r="36" spans="1:25" ht="15" thickBot="1" x14ac:dyDescent="0.35">
      <c r="Q36" s="157"/>
      <c r="R36" s="158"/>
      <c r="S36" s="158"/>
      <c r="T36" s="158"/>
      <c r="U36" s="158"/>
      <c r="V36" s="158"/>
      <c r="W36" s="158"/>
      <c r="X36" s="158"/>
      <c r="Y36" s="159"/>
    </row>
    <row r="37" spans="1:25" ht="15" customHeight="1" x14ac:dyDescent="0.3">
      <c r="B37" s="44" t="s">
        <v>71</v>
      </c>
      <c r="C37" s="44" t="s">
        <v>72</v>
      </c>
      <c r="D37" s="44" t="s">
        <v>73</v>
      </c>
      <c r="E37" s="63" t="s">
        <v>33</v>
      </c>
      <c r="Q37" s="157"/>
      <c r="R37" s="284" t="s">
        <v>139</v>
      </c>
      <c r="S37" s="282" t="s">
        <v>141</v>
      </c>
      <c r="T37" s="115" t="s">
        <v>71</v>
      </c>
      <c r="U37" s="115" t="s">
        <v>72</v>
      </c>
      <c r="V37" s="115" t="s">
        <v>73</v>
      </c>
      <c r="W37" s="116" t="s">
        <v>33</v>
      </c>
      <c r="X37" s="158"/>
      <c r="Y37" s="159"/>
    </row>
    <row r="38" spans="1:25" ht="15" thickBot="1" x14ac:dyDescent="0.35">
      <c r="A38" s="66" t="s">
        <v>85</v>
      </c>
      <c r="B38" s="65">
        <v>120</v>
      </c>
      <c r="C38" s="65">
        <v>190</v>
      </c>
      <c r="D38" s="65">
        <v>160</v>
      </c>
      <c r="E38" s="65">
        <f>SUM(B38:D38)</f>
        <v>470</v>
      </c>
      <c r="Q38" s="157"/>
      <c r="R38" s="285"/>
      <c r="S38" s="283"/>
      <c r="T38" s="125">
        <v>120</v>
      </c>
      <c r="U38" s="125">
        <v>190</v>
      </c>
      <c r="V38" s="125">
        <v>160</v>
      </c>
      <c r="W38" s="126">
        <f>SUM(T38:V38)</f>
        <v>470</v>
      </c>
      <c r="X38" s="158"/>
      <c r="Y38" s="159"/>
    </row>
    <row r="39" spans="1:25" ht="15" thickBot="1" x14ac:dyDescent="0.35">
      <c r="Q39" s="170"/>
      <c r="R39" s="171"/>
      <c r="S39" s="171"/>
      <c r="T39" s="171"/>
      <c r="U39" s="171"/>
      <c r="V39" s="171"/>
      <c r="W39" s="171"/>
      <c r="X39" s="171"/>
      <c r="Y39" s="172"/>
    </row>
  </sheetData>
  <mergeCells count="7">
    <mergeCell ref="S37:S38"/>
    <mergeCell ref="R37:R38"/>
    <mergeCell ref="A20:F20"/>
    <mergeCell ref="R12:R16"/>
    <mergeCell ref="R4:R7"/>
    <mergeCell ref="R21:R25"/>
    <mergeCell ref="R29:R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B7D8-3907-4927-86B3-902B22501321}">
  <dimension ref="A1:AI35"/>
  <sheetViews>
    <sheetView topLeftCell="B1" zoomScaleNormal="100" workbookViewId="0">
      <selection activeCell="AE5" sqref="AE5"/>
    </sheetView>
  </sheetViews>
  <sheetFormatPr defaultColWidth="9.33203125" defaultRowHeight="14.4" x14ac:dyDescent="0.3"/>
  <cols>
    <col min="1" max="1" width="55" customWidth="1"/>
    <col min="2" max="2" width="7.5546875" bestFit="1" customWidth="1"/>
    <col min="3" max="3" width="9.5546875" bestFit="1" customWidth="1"/>
    <col min="4" max="4" width="6" bestFit="1" customWidth="1"/>
    <col min="5" max="5" width="7" bestFit="1" customWidth="1"/>
    <col min="6" max="6" width="2.33203125" customWidth="1"/>
    <col min="8" max="8" width="3" customWidth="1"/>
    <col min="12" max="12" width="10.5546875" bestFit="1" customWidth="1"/>
    <col min="13" max="13" width="10.88671875" customWidth="1"/>
    <col min="14" max="17" width="11.6640625" hidden="1" customWidth="1"/>
    <col min="18" max="18" width="11.88671875" style="25" hidden="1" customWidth="1"/>
    <col min="19" max="19" width="11.109375" hidden="1" customWidth="1"/>
    <col min="20" max="21" width="11.109375" customWidth="1"/>
    <col min="22" max="22" width="7.109375" customWidth="1"/>
    <col min="23" max="23" width="31.109375" bestFit="1" customWidth="1"/>
    <col min="25" max="25" width="9.5546875" bestFit="1" customWidth="1"/>
    <col min="34" max="34" width="12.88671875" bestFit="1" customWidth="1"/>
  </cols>
  <sheetData>
    <row r="1" spans="1:35" ht="15" thickBot="1" x14ac:dyDescent="0.35"/>
    <row r="2" spans="1:35" ht="15" thickBot="1" x14ac:dyDescent="0.35">
      <c r="I2" s="26"/>
      <c r="J2" s="26"/>
      <c r="K2" s="26"/>
      <c r="N2" s="26"/>
      <c r="O2" s="26"/>
      <c r="P2" s="26"/>
      <c r="V2" s="154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6"/>
    </row>
    <row r="3" spans="1:35" ht="16.2" thickBot="1" x14ac:dyDescent="0.35">
      <c r="A3" s="21" t="s">
        <v>14</v>
      </c>
      <c r="B3" s="22" t="s">
        <v>15</v>
      </c>
      <c r="C3" s="23" t="s">
        <v>16</v>
      </c>
      <c r="D3" s="24" t="s">
        <v>17</v>
      </c>
      <c r="E3" s="24" t="s">
        <v>18</v>
      </c>
      <c r="G3" s="24" t="s">
        <v>17</v>
      </c>
      <c r="I3" t="s">
        <v>63</v>
      </c>
      <c r="J3" t="s">
        <v>64</v>
      </c>
      <c r="K3" t="s">
        <v>65</v>
      </c>
      <c r="L3" t="s">
        <v>81</v>
      </c>
      <c r="M3" t="s">
        <v>68</v>
      </c>
      <c r="O3" t="s">
        <v>63</v>
      </c>
      <c r="P3" t="s">
        <v>64</v>
      </c>
      <c r="Q3" t="s">
        <v>65</v>
      </c>
      <c r="R3" t="s">
        <v>81</v>
      </c>
      <c r="S3" s="25"/>
      <c r="T3" s="25"/>
      <c r="U3" s="25"/>
      <c r="V3" s="157"/>
      <c r="W3" s="248" t="s">
        <v>14</v>
      </c>
      <c r="X3" s="249" t="s">
        <v>15</v>
      </c>
      <c r="Y3" s="249" t="s">
        <v>16</v>
      </c>
      <c r="Z3" s="249" t="s">
        <v>17</v>
      </c>
      <c r="AA3" s="244" t="s">
        <v>18</v>
      </c>
      <c r="AB3" s="40">
        <v>3.6</v>
      </c>
      <c r="AC3" s="253" t="s">
        <v>71</v>
      </c>
      <c r="AD3" s="254" t="s">
        <v>72</v>
      </c>
      <c r="AE3" s="254" t="s">
        <v>73</v>
      </c>
      <c r="AF3" s="254" t="s">
        <v>81</v>
      </c>
      <c r="AG3" s="255" t="s">
        <v>68</v>
      </c>
      <c r="AH3" s="195"/>
    </row>
    <row r="4" spans="1:35" ht="15" thickBot="1" x14ac:dyDescent="0.35">
      <c r="A4" s="1" t="s">
        <v>0</v>
      </c>
      <c r="B4" s="6">
        <v>1280</v>
      </c>
      <c r="C4" s="6">
        <v>300310</v>
      </c>
      <c r="D4" s="7">
        <v>234.6171875</v>
      </c>
      <c r="E4" s="8">
        <v>76.923668032786892</v>
      </c>
      <c r="G4" s="44"/>
      <c r="R4"/>
      <c r="S4" s="25"/>
      <c r="T4" s="25"/>
      <c r="U4" s="25"/>
      <c r="V4" s="157"/>
      <c r="W4" s="245" t="s">
        <v>0</v>
      </c>
      <c r="X4" s="246">
        <f>SUM(X5:X7)</f>
        <v>830</v>
      </c>
      <c r="Y4" s="246">
        <f>SUM(Y5:Y7)</f>
        <v>245135.52000000005</v>
      </c>
      <c r="Z4" s="246"/>
      <c r="AA4" s="247"/>
      <c r="AB4" s="40"/>
      <c r="AC4" s="250"/>
      <c r="AD4" s="251"/>
      <c r="AE4" s="251"/>
      <c r="AF4" s="251"/>
      <c r="AG4" s="252"/>
      <c r="AH4" s="195"/>
    </row>
    <row r="5" spans="1:35" ht="15" customHeight="1" thickTop="1" x14ac:dyDescent="0.3">
      <c r="A5" s="2" t="s">
        <v>1</v>
      </c>
      <c r="B5" s="9">
        <v>1000</v>
      </c>
      <c r="C5" s="10">
        <v>250750</v>
      </c>
      <c r="D5" s="11">
        <v>250.75</v>
      </c>
      <c r="E5" s="12">
        <v>82.21311475409837</v>
      </c>
      <c r="G5" s="45">
        <v>250.75</v>
      </c>
      <c r="H5" s="25"/>
      <c r="I5" s="34">
        <v>350</v>
      </c>
      <c r="J5" s="35">
        <v>510</v>
      </c>
      <c r="K5" s="35">
        <v>481</v>
      </c>
      <c r="L5" s="35"/>
      <c r="M5" s="67">
        <f>SUM(I5:L5)</f>
        <v>1341</v>
      </c>
      <c r="N5" s="37"/>
      <c r="O5" s="27">
        <f>I5*G5</f>
        <v>87762.5</v>
      </c>
      <c r="P5" s="27">
        <f>J5*G5</f>
        <v>127882.5</v>
      </c>
      <c r="Q5" s="27">
        <f>K5*G5</f>
        <v>120610.75</v>
      </c>
      <c r="R5" s="27">
        <f>L5*G5</f>
        <v>0</v>
      </c>
      <c r="S5" s="25"/>
      <c r="T5" s="25"/>
      <c r="U5" s="25"/>
      <c r="V5" s="157"/>
      <c r="W5" s="129" t="s">
        <v>1</v>
      </c>
      <c r="X5" s="45">
        <v>830</v>
      </c>
      <c r="Y5" s="45">
        <f>Z5*X5</f>
        <v>245135.52000000005</v>
      </c>
      <c r="Z5" s="45">
        <f>AA5*$AB$3</f>
        <v>295.34400000000005</v>
      </c>
      <c r="AA5" s="135">
        <v>82.04</v>
      </c>
      <c r="AB5" s="40"/>
      <c r="AC5" s="140">
        <f>X5*0.26</f>
        <v>215.8</v>
      </c>
      <c r="AD5" s="138">
        <f>X5*0.382</f>
        <v>317.06</v>
      </c>
      <c r="AE5" s="138">
        <f>X5*0.358</f>
        <v>297.14</v>
      </c>
      <c r="AF5" s="138"/>
      <c r="AG5" s="141">
        <f>SUM(AC5:AF5)</f>
        <v>830</v>
      </c>
      <c r="AH5" s="195"/>
    </row>
    <row r="6" spans="1:35" ht="30" customHeight="1" x14ac:dyDescent="0.3">
      <c r="A6" s="48" t="s">
        <v>66</v>
      </c>
      <c r="B6" s="53"/>
      <c r="C6" s="54"/>
      <c r="D6" s="55"/>
      <c r="E6" s="56">
        <v>141.73116322022838</v>
      </c>
      <c r="F6" s="50"/>
      <c r="G6" s="57">
        <f>E6*2.9</f>
        <v>411.0203733386623</v>
      </c>
      <c r="H6" s="49"/>
      <c r="I6" s="38">
        <v>50</v>
      </c>
      <c r="J6" s="58"/>
      <c r="K6" s="58"/>
      <c r="L6" s="58"/>
      <c r="M6" s="68">
        <f t="shared" ref="M6:M19" si="0">SUM(I6:L6)</f>
        <v>50</v>
      </c>
      <c r="N6" s="58"/>
      <c r="O6" s="59">
        <f>I6*G6</f>
        <v>20551.018666933116</v>
      </c>
      <c r="P6" s="59">
        <f>J6*G6</f>
        <v>0</v>
      </c>
      <c r="Q6" s="59">
        <f>K6*G6</f>
        <v>0</v>
      </c>
      <c r="R6" s="27">
        <f t="shared" ref="R6:R19" si="1">L6*G6</f>
        <v>0</v>
      </c>
      <c r="S6" s="25"/>
      <c r="T6" s="25"/>
      <c r="U6" s="25"/>
      <c r="V6" s="157"/>
      <c r="W6" s="130" t="s">
        <v>66</v>
      </c>
      <c r="X6" s="127">
        <v>0</v>
      </c>
      <c r="Y6" s="127">
        <v>0</v>
      </c>
      <c r="Z6" s="127">
        <f>AA6*$AB$3</f>
        <v>0</v>
      </c>
      <c r="AA6" s="131">
        <v>0</v>
      </c>
      <c r="AB6" s="40"/>
      <c r="AC6" s="142">
        <v>0</v>
      </c>
      <c r="AD6" s="57">
        <v>0</v>
      </c>
      <c r="AE6" s="57">
        <v>0</v>
      </c>
      <c r="AF6" s="57">
        <v>0</v>
      </c>
      <c r="AG6" s="143"/>
      <c r="AH6" s="195"/>
    </row>
    <row r="7" spans="1:35" ht="15" thickBot="1" x14ac:dyDescent="0.35">
      <c r="A7" s="3" t="s">
        <v>2</v>
      </c>
      <c r="B7" s="13">
        <v>280</v>
      </c>
      <c r="C7" s="14">
        <v>49560</v>
      </c>
      <c r="D7" s="15">
        <v>177</v>
      </c>
      <c r="E7" s="16">
        <v>58.032786885245905</v>
      </c>
      <c r="G7" s="45">
        <v>177</v>
      </c>
      <c r="I7" s="52">
        <v>50</v>
      </c>
      <c r="J7" s="37">
        <v>50</v>
      </c>
      <c r="K7" s="37">
        <v>92.4</v>
      </c>
      <c r="L7" s="37"/>
      <c r="M7" s="69">
        <f t="shared" si="0"/>
        <v>192.4</v>
      </c>
      <c r="N7" s="37"/>
      <c r="O7" s="27">
        <f>I7*G7</f>
        <v>8850</v>
      </c>
      <c r="P7" s="27">
        <f>J7*G7</f>
        <v>8850</v>
      </c>
      <c r="Q7" s="27">
        <f>K7*G7</f>
        <v>16354.800000000001</v>
      </c>
      <c r="R7" s="27">
        <f t="shared" si="1"/>
        <v>0</v>
      </c>
      <c r="S7" s="25"/>
      <c r="T7" s="25"/>
      <c r="U7" s="25"/>
      <c r="V7" s="157"/>
      <c r="W7" s="148" t="s">
        <v>2</v>
      </c>
      <c r="X7" s="149">
        <v>0</v>
      </c>
      <c r="Y7" s="149">
        <v>0</v>
      </c>
      <c r="Z7" s="149">
        <f>AA7*$AB$3</f>
        <v>0</v>
      </c>
      <c r="AA7" s="150">
        <v>0</v>
      </c>
      <c r="AB7" s="40"/>
      <c r="AC7" s="142">
        <v>0</v>
      </c>
      <c r="AD7" s="57">
        <v>0</v>
      </c>
      <c r="AE7" s="57">
        <v>0</v>
      </c>
      <c r="AF7" s="57">
        <v>0</v>
      </c>
      <c r="AG7" s="143">
        <f t="shared" ref="AG7:AG8" si="2">SUM(AC7:AF7)</f>
        <v>0</v>
      </c>
      <c r="AH7" s="195"/>
    </row>
    <row r="8" spans="1:35" x14ac:dyDescent="0.3">
      <c r="A8" s="4" t="s">
        <v>3</v>
      </c>
      <c r="B8" s="6">
        <v>1436</v>
      </c>
      <c r="C8" s="6">
        <v>449681.18203389837</v>
      </c>
      <c r="D8" s="7">
        <v>313.14845545536099</v>
      </c>
      <c r="E8" s="8">
        <v>102.67162473946263</v>
      </c>
      <c r="G8" s="44"/>
      <c r="I8" s="39"/>
      <c r="J8" s="40"/>
      <c r="K8" s="40"/>
      <c r="L8" s="40"/>
      <c r="M8" s="69">
        <f t="shared" si="0"/>
        <v>0</v>
      </c>
      <c r="N8" s="37"/>
      <c r="O8" s="32">
        <f>SUM(O5:O7)</f>
        <v>117163.51866693312</v>
      </c>
      <c r="P8" s="32">
        <f>SUM(P5:P7)</f>
        <v>136732.5</v>
      </c>
      <c r="Q8" s="32">
        <f>SUM(Q5:Q7)</f>
        <v>136965.54999999999</v>
      </c>
      <c r="R8" s="32">
        <f>SUM(R5:R7)</f>
        <v>0</v>
      </c>
      <c r="S8" s="25"/>
      <c r="T8" s="25"/>
      <c r="U8" s="25"/>
      <c r="V8" s="239"/>
      <c r="W8" s="134" t="s">
        <v>3</v>
      </c>
      <c r="X8" s="128">
        <f>SUM(X9:X18)</f>
        <v>1005</v>
      </c>
      <c r="Y8" s="128">
        <f>SUM(Y9:Y18)</f>
        <v>410240.62800000003</v>
      </c>
      <c r="Z8" s="128"/>
      <c r="AA8" s="136"/>
      <c r="AB8" s="40"/>
      <c r="AC8" s="139"/>
      <c r="AD8" s="44"/>
      <c r="AE8" s="44"/>
      <c r="AF8" s="44"/>
      <c r="AG8" s="141">
        <f t="shared" si="2"/>
        <v>0</v>
      </c>
      <c r="AH8" s="195"/>
    </row>
    <row r="9" spans="1:35" x14ac:dyDescent="0.3">
      <c r="A9" s="2" t="s">
        <v>4</v>
      </c>
      <c r="B9" s="9">
        <v>490</v>
      </c>
      <c r="C9" s="10">
        <v>171118.29</v>
      </c>
      <c r="D9" s="11">
        <v>349.221</v>
      </c>
      <c r="E9" s="12">
        <v>122.10524475524477</v>
      </c>
      <c r="G9" s="45">
        <v>349.221</v>
      </c>
      <c r="I9" s="36">
        <v>196</v>
      </c>
      <c r="J9" s="37">
        <v>132.30000000000001</v>
      </c>
      <c r="K9" s="37">
        <v>150</v>
      </c>
      <c r="L9" s="37">
        <v>60</v>
      </c>
      <c r="M9" s="69">
        <f>SUM(I9:L9)</f>
        <v>538.29999999999995</v>
      </c>
      <c r="N9" s="37"/>
      <c r="O9" s="27">
        <f t="shared" ref="O9:O19" si="3">I9*G9</f>
        <v>68447.316000000006</v>
      </c>
      <c r="P9" s="27">
        <f t="shared" ref="P9:P19" si="4">J9*G9</f>
        <v>46201.938300000002</v>
      </c>
      <c r="Q9" s="27">
        <f t="shared" ref="Q9:Q19" si="5">K9*G9</f>
        <v>52383.15</v>
      </c>
      <c r="R9" s="27">
        <f t="shared" si="1"/>
        <v>20953.260000000002</v>
      </c>
      <c r="S9" s="25"/>
      <c r="T9" s="25"/>
      <c r="U9" s="25"/>
      <c r="V9" s="157"/>
      <c r="W9" s="129" t="s">
        <v>4</v>
      </c>
      <c r="X9" s="45">
        <v>578</v>
      </c>
      <c r="Y9" s="45">
        <f t="shared" ref="Y9:Y18" si="6">Z9*X9</f>
        <v>241747.34400000004</v>
      </c>
      <c r="Z9" s="45">
        <f>AA9*$AB$3</f>
        <v>418.24800000000005</v>
      </c>
      <c r="AA9" s="135">
        <v>116.18</v>
      </c>
      <c r="AB9" s="40"/>
      <c r="AC9" s="140">
        <f>X9*0.364</f>
        <v>210.392</v>
      </c>
      <c r="AD9" s="138">
        <f>X9*0.245</f>
        <v>141.60999999999999</v>
      </c>
      <c r="AE9" s="138">
        <f>X9*0.278</f>
        <v>160.68400000000003</v>
      </c>
      <c r="AF9" s="138">
        <f>X9*0.111+1</f>
        <v>65.158000000000001</v>
      </c>
      <c r="AG9" s="141">
        <f>SUM(AC9:AF9)</f>
        <v>577.84399999999994</v>
      </c>
      <c r="AH9" s="195"/>
      <c r="AI9" s="27"/>
    </row>
    <row r="10" spans="1:35" x14ac:dyDescent="0.3">
      <c r="A10" s="2" t="s">
        <v>5</v>
      </c>
      <c r="B10" s="9">
        <v>50</v>
      </c>
      <c r="C10" s="10">
        <v>20871.25</v>
      </c>
      <c r="D10" s="11">
        <v>417.42500000000001</v>
      </c>
      <c r="E10" s="12">
        <v>145.9527972027972</v>
      </c>
      <c r="G10" s="45">
        <v>417.42500000000001</v>
      </c>
      <c r="I10" s="36">
        <v>35</v>
      </c>
      <c r="J10" s="37">
        <v>4</v>
      </c>
      <c r="K10" s="37">
        <v>16.5</v>
      </c>
      <c r="L10" s="37">
        <v>20</v>
      </c>
      <c r="M10" s="69">
        <f t="shared" si="0"/>
        <v>75.5</v>
      </c>
      <c r="N10" s="37"/>
      <c r="O10" s="27">
        <f t="shared" si="3"/>
        <v>14609.875</v>
      </c>
      <c r="P10" s="27">
        <f t="shared" si="4"/>
        <v>1669.7</v>
      </c>
      <c r="Q10" s="27">
        <f t="shared" si="5"/>
        <v>6887.5124999999998</v>
      </c>
      <c r="R10" s="27">
        <f t="shared" si="1"/>
        <v>8348.5</v>
      </c>
      <c r="S10" s="25"/>
      <c r="T10" s="25"/>
      <c r="U10" s="25"/>
      <c r="V10" s="157"/>
      <c r="W10" s="129" t="s">
        <v>5</v>
      </c>
      <c r="X10" s="45">
        <v>76</v>
      </c>
      <c r="Y10" s="45">
        <f t="shared" si="6"/>
        <v>36156.239999999998</v>
      </c>
      <c r="Z10" s="45">
        <f t="shared" ref="Z10:Z18" si="7">AA10*$AB$3</f>
        <v>475.74</v>
      </c>
      <c r="AA10" s="135">
        <v>132.15</v>
      </c>
      <c r="AB10" s="40"/>
      <c r="AC10" s="140">
        <v>35</v>
      </c>
      <c r="AD10" s="138">
        <v>4</v>
      </c>
      <c r="AE10" s="138">
        <v>16.5</v>
      </c>
      <c r="AF10" s="138">
        <v>20</v>
      </c>
      <c r="AG10" s="141">
        <f t="shared" ref="AG10:AG18" si="8">SUM(AC10:AF10)</f>
        <v>75.5</v>
      </c>
      <c r="AH10" s="195"/>
      <c r="AI10" s="264"/>
    </row>
    <row r="11" spans="1:35" x14ac:dyDescent="0.3">
      <c r="A11" s="2" t="s">
        <v>6</v>
      </c>
      <c r="B11" s="9">
        <v>300</v>
      </c>
      <c r="C11" s="10">
        <v>118899.75000000001</v>
      </c>
      <c r="D11" s="11">
        <v>396.33250000000004</v>
      </c>
      <c r="E11" s="12">
        <v>138.57779720279723</v>
      </c>
      <c r="G11" s="45">
        <v>396.33250000000004</v>
      </c>
      <c r="I11" s="52">
        <v>20</v>
      </c>
      <c r="J11" s="37">
        <v>10</v>
      </c>
      <c r="K11" s="37">
        <v>20</v>
      </c>
      <c r="L11" s="37"/>
      <c r="M11" s="69">
        <f t="shared" si="0"/>
        <v>50</v>
      </c>
      <c r="N11" s="37"/>
      <c r="O11" s="27">
        <f t="shared" si="3"/>
        <v>7926.6500000000005</v>
      </c>
      <c r="P11" s="27">
        <f t="shared" si="4"/>
        <v>3963.3250000000003</v>
      </c>
      <c r="Q11" s="27">
        <f t="shared" si="5"/>
        <v>7926.6500000000005</v>
      </c>
      <c r="R11" s="27">
        <f t="shared" si="1"/>
        <v>0</v>
      </c>
      <c r="S11" s="25"/>
      <c r="T11" s="25"/>
      <c r="U11" s="25"/>
      <c r="V11" s="157"/>
      <c r="W11" s="129" t="s">
        <v>6</v>
      </c>
      <c r="X11" s="45">
        <v>50</v>
      </c>
      <c r="Y11" s="45">
        <f t="shared" si="6"/>
        <v>22714.2</v>
      </c>
      <c r="Z11" s="45">
        <f t="shared" si="7"/>
        <v>454.28399999999999</v>
      </c>
      <c r="AA11" s="135">
        <v>126.19</v>
      </c>
      <c r="AB11" s="40"/>
      <c r="AC11" s="144">
        <v>20</v>
      </c>
      <c r="AD11" s="138">
        <v>10</v>
      </c>
      <c r="AE11" s="138">
        <v>20</v>
      </c>
      <c r="AF11" s="138"/>
      <c r="AG11" s="141">
        <f t="shared" si="8"/>
        <v>50</v>
      </c>
      <c r="AH11" s="195"/>
    </row>
    <row r="12" spans="1:35" x14ac:dyDescent="0.3">
      <c r="A12" s="2" t="s">
        <v>7</v>
      </c>
      <c r="B12" s="9">
        <v>70</v>
      </c>
      <c r="C12" s="10">
        <v>47457.627118644072</v>
      </c>
      <c r="D12" s="11">
        <v>677.96610169491532</v>
      </c>
      <c r="E12" s="12">
        <v>237.05108450871165</v>
      </c>
      <c r="G12" s="45">
        <v>677.96610169491532</v>
      </c>
      <c r="I12" s="36">
        <v>20</v>
      </c>
      <c r="J12" s="37">
        <v>4</v>
      </c>
      <c r="K12" s="37">
        <v>20</v>
      </c>
      <c r="L12" s="37">
        <v>10</v>
      </c>
      <c r="M12" s="69">
        <f t="shared" si="0"/>
        <v>54</v>
      </c>
      <c r="N12" s="37"/>
      <c r="O12" s="27">
        <f t="shared" si="3"/>
        <v>13559.322033898306</v>
      </c>
      <c r="P12" s="27">
        <f t="shared" si="4"/>
        <v>2711.8644067796613</v>
      </c>
      <c r="Q12" s="27">
        <f t="shared" si="5"/>
        <v>13559.322033898306</v>
      </c>
      <c r="R12" s="27">
        <f t="shared" si="1"/>
        <v>6779.6610169491532</v>
      </c>
      <c r="S12" s="25"/>
      <c r="T12" s="25"/>
      <c r="U12" s="25"/>
      <c r="V12" s="157"/>
      <c r="W12" s="129" t="s">
        <v>7</v>
      </c>
      <c r="X12" s="45">
        <v>54</v>
      </c>
      <c r="Y12" s="45">
        <f t="shared" si="6"/>
        <v>25454.736000000001</v>
      </c>
      <c r="Z12" s="45">
        <f t="shared" si="7"/>
        <v>471.38400000000001</v>
      </c>
      <c r="AA12" s="135">
        <v>130.94</v>
      </c>
      <c r="AB12" s="40"/>
      <c r="AC12" s="140">
        <v>20</v>
      </c>
      <c r="AD12" s="138">
        <v>4</v>
      </c>
      <c r="AE12" s="138">
        <v>20</v>
      </c>
      <c r="AF12" s="138">
        <v>10</v>
      </c>
      <c r="AG12" s="141">
        <f t="shared" si="8"/>
        <v>54</v>
      </c>
      <c r="AH12" s="195"/>
    </row>
    <row r="13" spans="1:35" x14ac:dyDescent="0.3">
      <c r="A13" s="2" t="s">
        <v>8</v>
      </c>
      <c r="B13" s="9">
        <v>5</v>
      </c>
      <c r="C13" s="10">
        <v>3601.6949152542375</v>
      </c>
      <c r="D13" s="11">
        <v>720.33898305084745</v>
      </c>
      <c r="E13" s="12">
        <v>251.86677729050612</v>
      </c>
      <c r="G13" s="45">
        <v>720.33898305084745</v>
      </c>
      <c r="I13" s="36">
        <v>10</v>
      </c>
      <c r="J13" s="37"/>
      <c r="K13" s="37">
        <v>1.6500000000000001</v>
      </c>
      <c r="L13" s="37"/>
      <c r="M13" s="69">
        <f t="shared" si="0"/>
        <v>11.65</v>
      </c>
      <c r="N13" s="37"/>
      <c r="O13" s="27">
        <f t="shared" si="3"/>
        <v>7203.3898305084749</v>
      </c>
      <c r="P13" s="27">
        <f t="shared" si="4"/>
        <v>0</v>
      </c>
      <c r="Q13" s="27">
        <f t="shared" si="5"/>
        <v>1188.5593220338983</v>
      </c>
      <c r="R13" s="27">
        <f t="shared" si="1"/>
        <v>0</v>
      </c>
      <c r="S13" s="25"/>
      <c r="T13" s="25"/>
      <c r="U13" s="25"/>
      <c r="V13" s="157"/>
      <c r="W13" s="129" t="s">
        <v>8</v>
      </c>
      <c r="X13" s="45">
        <v>12</v>
      </c>
      <c r="Y13" s="45">
        <f t="shared" si="6"/>
        <v>7983.3600000000006</v>
      </c>
      <c r="Z13" s="45">
        <f t="shared" si="7"/>
        <v>665.28000000000009</v>
      </c>
      <c r="AA13" s="135">
        <v>184.8</v>
      </c>
      <c r="AB13" s="40"/>
      <c r="AC13" s="140">
        <v>10</v>
      </c>
      <c r="AD13" s="138"/>
      <c r="AE13" s="138">
        <v>1.6500000000000001</v>
      </c>
      <c r="AF13" s="138"/>
      <c r="AG13" s="141">
        <f t="shared" si="8"/>
        <v>11.65</v>
      </c>
      <c r="AH13" s="195"/>
    </row>
    <row r="14" spans="1:35" x14ac:dyDescent="0.3">
      <c r="A14" s="2" t="s">
        <v>9</v>
      </c>
      <c r="B14" s="9">
        <v>30</v>
      </c>
      <c r="C14" s="10">
        <v>10476.630000000001</v>
      </c>
      <c r="D14" s="11">
        <v>349.22100000000006</v>
      </c>
      <c r="E14" s="12">
        <v>122.10524475524478</v>
      </c>
      <c r="G14" s="45">
        <v>349.22100000000006</v>
      </c>
      <c r="I14" s="36">
        <v>30</v>
      </c>
      <c r="J14" s="37">
        <v>8.1000000000000014</v>
      </c>
      <c r="K14" s="37">
        <v>9.9</v>
      </c>
      <c r="L14" s="37"/>
      <c r="M14" s="69">
        <f t="shared" si="0"/>
        <v>48</v>
      </c>
      <c r="N14" s="37"/>
      <c r="O14" s="27">
        <f t="shared" si="3"/>
        <v>10476.630000000001</v>
      </c>
      <c r="P14" s="27">
        <f t="shared" si="4"/>
        <v>2828.6901000000012</v>
      </c>
      <c r="Q14" s="27">
        <f t="shared" si="5"/>
        <v>3457.2879000000007</v>
      </c>
      <c r="R14" s="27">
        <f t="shared" si="1"/>
        <v>0</v>
      </c>
      <c r="S14" s="25"/>
      <c r="T14" s="25"/>
      <c r="U14" s="25"/>
      <c r="V14" s="157"/>
      <c r="W14" s="129" t="s">
        <v>9</v>
      </c>
      <c r="X14" s="45">
        <v>48</v>
      </c>
      <c r="Y14" s="45">
        <f t="shared" si="6"/>
        <v>22626.432000000001</v>
      </c>
      <c r="Z14" s="45">
        <f t="shared" si="7"/>
        <v>471.38400000000001</v>
      </c>
      <c r="AA14" s="135">
        <v>130.94</v>
      </c>
      <c r="AB14" s="40"/>
      <c r="AC14" s="140">
        <v>30</v>
      </c>
      <c r="AD14" s="138">
        <v>8.1000000000000014</v>
      </c>
      <c r="AE14" s="138">
        <v>9.9</v>
      </c>
      <c r="AF14" s="138"/>
      <c r="AG14" s="141">
        <f t="shared" si="8"/>
        <v>48</v>
      </c>
      <c r="AH14" s="195"/>
    </row>
    <row r="15" spans="1:35" x14ac:dyDescent="0.3">
      <c r="A15" s="2" t="s">
        <v>10</v>
      </c>
      <c r="B15" s="9">
        <v>200</v>
      </c>
      <c r="C15" s="10">
        <v>44000</v>
      </c>
      <c r="D15" s="11">
        <v>220</v>
      </c>
      <c r="E15" s="12">
        <v>76.92307692307692</v>
      </c>
      <c r="G15" s="46">
        <f>210*2.9</f>
        <v>609</v>
      </c>
      <c r="I15" s="36">
        <v>40</v>
      </c>
      <c r="J15" s="37">
        <v>10</v>
      </c>
      <c r="K15" s="37">
        <v>24</v>
      </c>
      <c r="L15" s="37">
        <v>10</v>
      </c>
      <c r="M15" s="69">
        <f t="shared" si="0"/>
        <v>84</v>
      </c>
      <c r="N15" s="37"/>
      <c r="O15" s="27">
        <f t="shared" si="3"/>
        <v>24360</v>
      </c>
      <c r="P15" s="27">
        <f t="shared" si="4"/>
        <v>6090</v>
      </c>
      <c r="Q15" s="27">
        <f t="shared" si="5"/>
        <v>14616</v>
      </c>
      <c r="R15" s="27">
        <f>L15*G15</f>
        <v>6090</v>
      </c>
      <c r="S15" s="25"/>
      <c r="T15" s="25"/>
      <c r="U15" s="25"/>
      <c r="V15" s="240"/>
      <c r="W15" s="129" t="s">
        <v>10</v>
      </c>
      <c r="X15" s="45">
        <v>60</v>
      </c>
      <c r="Y15" s="45">
        <f t="shared" si="6"/>
        <v>39808.800000000003</v>
      </c>
      <c r="Z15" s="45">
        <f t="shared" si="7"/>
        <v>663.48</v>
      </c>
      <c r="AA15" s="135">
        <v>184.3</v>
      </c>
      <c r="AB15" s="40"/>
      <c r="AC15" s="140">
        <f>X15*0.476+1</f>
        <v>29.56</v>
      </c>
      <c r="AD15" s="138">
        <f>X15*0.119</f>
        <v>7.14</v>
      </c>
      <c r="AE15" s="138">
        <f>X15*0.28</f>
        <v>16.8</v>
      </c>
      <c r="AF15" s="138">
        <f>X15*0.11</f>
        <v>6.6</v>
      </c>
      <c r="AG15" s="141">
        <f t="shared" si="8"/>
        <v>60.1</v>
      </c>
      <c r="AH15" s="195"/>
    </row>
    <row r="16" spans="1:35" x14ac:dyDescent="0.3">
      <c r="A16" s="2" t="s">
        <v>11</v>
      </c>
      <c r="B16" s="9">
        <v>20</v>
      </c>
      <c r="C16" s="10">
        <v>7475.2999999999993</v>
      </c>
      <c r="D16" s="11">
        <v>373.76499999999999</v>
      </c>
      <c r="E16" s="12">
        <v>130.68706293706293</v>
      </c>
      <c r="G16" s="45">
        <v>373.76499999999999</v>
      </c>
      <c r="I16" s="36">
        <v>8</v>
      </c>
      <c r="J16" s="37">
        <v>2</v>
      </c>
      <c r="K16" s="37">
        <v>6.6000000000000005</v>
      </c>
      <c r="L16" s="37"/>
      <c r="M16" s="69">
        <f t="shared" si="0"/>
        <v>16.600000000000001</v>
      </c>
      <c r="N16" s="37"/>
      <c r="O16" s="27">
        <f t="shared" si="3"/>
        <v>2990.12</v>
      </c>
      <c r="P16" s="27">
        <f t="shared" si="4"/>
        <v>747.53</v>
      </c>
      <c r="Q16" s="27">
        <f t="shared" si="5"/>
        <v>2466.8490000000002</v>
      </c>
      <c r="R16" s="27">
        <f t="shared" si="1"/>
        <v>0</v>
      </c>
      <c r="S16" s="25"/>
      <c r="T16" s="25"/>
      <c r="U16" s="25"/>
      <c r="V16" s="157"/>
      <c r="W16" s="129" t="s">
        <v>11</v>
      </c>
      <c r="X16" s="45">
        <v>17</v>
      </c>
      <c r="Y16" s="45">
        <f t="shared" si="6"/>
        <v>6752.1959999999999</v>
      </c>
      <c r="Z16" s="45">
        <f t="shared" si="7"/>
        <v>397.18799999999999</v>
      </c>
      <c r="AA16" s="135">
        <v>110.33</v>
      </c>
      <c r="AB16" s="40"/>
      <c r="AC16" s="140">
        <v>8</v>
      </c>
      <c r="AD16" s="138">
        <v>2</v>
      </c>
      <c r="AE16" s="138">
        <v>6.6000000000000005</v>
      </c>
      <c r="AF16" s="138"/>
      <c r="AG16" s="141">
        <f t="shared" si="8"/>
        <v>16.600000000000001</v>
      </c>
      <c r="AH16" s="195"/>
    </row>
    <row r="17" spans="1:34" x14ac:dyDescent="0.3">
      <c r="A17" s="2" t="s">
        <v>12</v>
      </c>
      <c r="B17" s="9">
        <v>211</v>
      </c>
      <c r="C17" s="10">
        <v>10955.120000000003</v>
      </c>
      <c r="D17" s="11">
        <v>51.920000000000009</v>
      </c>
      <c r="E17" s="12">
        <v>18.153846153846157</v>
      </c>
      <c r="G17" s="45">
        <v>51.920000000000009</v>
      </c>
      <c r="I17" s="52">
        <v>50</v>
      </c>
      <c r="J17" s="37"/>
      <c r="K17" s="37">
        <v>60</v>
      </c>
      <c r="L17" s="37"/>
      <c r="M17" s="69">
        <f t="shared" si="0"/>
        <v>110</v>
      </c>
      <c r="N17" s="37"/>
      <c r="O17" s="27">
        <f t="shared" si="3"/>
        <v>2596.0000000000005</v>
      </c>
      <c r="P17" s="27">
        <f t="shared" si="4"/>
        <v>0</v>
      </c>
      <c r="Q17" s="27">
        <f t="shared" si="5"/>
        <v>3115.2000000000007</v>
      </c>
      <c r="R17" s="27">
        <f t="shared" si="1"/>
        <v>0</v>
      </c>
      <c r="S17" s="25"/>
      <c r="T17" s="25"/>
      <c r="U17" s="25"/>
      <c r="V17" s="157"/>
      <c r="W17" s="129" t="s">
        <v>12</v>
      </c>
      <c r="X17" s="265">
        <v>110</v>
      </c>
      <c r="Y17" s="45">
        <f t="shared" si="6"/>
        <v>6997.3200000000006</v>
      </c>
      <c r="Z17" s="45">
        <f t="shared" si="7"/>
        <v>63.612000000000009</v>
      </c>
      <c r="AA17" s="135">
        <v>17.670000000000002</v>
      </c>
      <c r="AB17" s="40"/>
      <c r="AC17" s="267">
        <v>50</v>
      </c>
      <c r="AD17" s="268"/>
      <c r="AE17" s="268">
        <v>60</v>
      </c>
      <c r="AF17" s="268"/>
      <c r="AG17" s="269">
        <f t="shared" si="8"/>
        <v>110</v>
      </c>
      <c r="AH17" s="195"/>
    </row>
    <row r="18" spans="1:34" ht="15" thickBot="1" x14ac:dyDescent="0.35">
      <c r="A18" s="5" t="s">
        <v>13</v>
      </c>
      <c r="B18" s="17">
        <v>60</v>
      </c>
      <c r="C18" s="18">
        <v>14825.520000000002</v>
      </c>
      <c r="D18" s="19">
        <v>247.09200000000004</v>
      </c>
      <c r="E18" s="20">
        <v>86.395804195804217</v>
      </c>
      <c r="G18" s="45">
        <v>247.09200000000004</v>
      </c>
      <c r="I18" s="36">
        <v>24</v>
      </c>
      <c r="J18" s="37">
        <v>6</v>
      </c>
      <c r="K18" s="37">
        <v>19.8</v>
      </c>
      <c r="L18" s="37">
        <v>32</v>
      </c>
      <c r="M18" s="69">
        <f t="shared" si="0"/>
        <v>81.8</v>
      </c>
      <c r="N18" s="37"/>
      <c r="O18" s="27">
        <f t="shared" si="3"/>
        <v>5930.2080000000005</v>
      </c>
      <c r="P18" s="27">
        <f t="shared" si="4"/>
        <v>1482.5520000000001</v>
      </c>
      <c r="Q18" s="27">
        <f t="shared" si="5"/>
        <v>4892.4216000000006</v>
      </c>
      <c r="R18" s="27">
        <f t="shared" si="1"/>
        <v>7906.9440000000013</v>
      </c>
      <c r="S18" s="25"/>
      <c r="T18" s="25"/>
      <c r="U18" s="25"/>
      <c r="V18" s="157"/>
      <c r="W18" s="132" t="s">
        <v>13</v>
      </c>
      <c r="X18" s="266">
        <v>0</v>
      </c>
      <c r="Y18" s="133">
        <f t="shared" si="6"/>
        <v>0</v>
      </c>
      <c r="Z18" s="133">
        <f t="shared" si="7"/>
        <v>311.02489510489517</v>
      </c>
      <c r="AA18" s="137">
        <v>86.395804195804217</v>
      </c>
      <c r="AB18" s="40"/>
      <c r="AC18" s="145"/>
      <c r="AD18" s="146"/>
      <c r="AE18" s="146"/>
      <c r="AF18" s="146"/>
      <c r="AG18" s="147">
        <f t="shared" si="8"/>
        <v>0</v>
      </c>
      <c r="AH18" s="195"/>
    </row>
    <row r="19" spans="1:34" ht="15" thickBot="1" x14ac:dyDescent="0.35">
      <c r="A19" s="29" t="s">
        <v>67</v>
      </c>
      <c r="B19" s="30"/>
      <c r="C19" s="30"/>
      <c r="D19" s="30"/>
      <c r="E19" s="31"/>
      <c r="G19" s="45">
        <v>250</v>
      </c>
      <c r="I19" s="41">
        <v>100</v>
      </c>
      <c r="J19" s="42"/>
      <c r="K19" s="42"/>
      <c r="L19" s="42"/>
      <c r="M19" s="70">
        <f t="shared" si="0"/>
        <v>100</v>
      </c>
      <c r="N19" s="37"/>
      <c r="O19" s="27">
        <f t="shared" si="3"/>
        <v>25000</v>
      </c>
      <c r="P19" s="27">
        <f t="shared" si="4"/>
        <v>0</v>
      </c>
      <c r="Q19" s="27">
        <f t="shared" si="5"/>
        <v>0</v>
      </c>
      <c r="R19" s="27">
        <f t="shared" si="1"/>
        <v>0</v>
      </c>
      <c r="S19" s="25"/>
      <c r="T19" s="25"/>
      <c r="U19" s="25"/>
      <c r="V19" s="157"/>
      <c r="W19" s="29"/>
      <c r="X19" s="30"/>
      <c r="Y19" s="30"/>
      <c r="Z19" s="30"/>
      <c r="AA19" s="30"/>
      <c r="AB19" s="40"/>
      <c r="AC19" s="238">
        <f>SUM(AC5:AC18)</f>
        <v>628.75199999999995</v>
      </c>
      <c r="AD19" s="238">
        <f>SUM(AD5:AD18)</f>
        <v>493.90999999999997</v>
      </c>
      <c r="AE19" s="238">
        <f>SUM(AE5:AE18)</f>
        <v>609.274</v>
      </c>
      <c r="AF19" s="238">
        <f>SUM(AF5:AF18)</f>
        <v>101.758</v>
      </c>
      <c r="AG19" s="238">
        <f>SUM(AG5:AG18)</f>
        <v>1833.694</v>
      </c>
      <c r="AH19" s="195"/>
    </row>
    <row r="20" spans="1:34" ht="15" thickTop="1" x14ac:dyDescent="0.3">
      <c r="A20" s="29"/>
      <c r="B20" s="30"/>
      <c r="C20" s="30">
        <f>C8+C4</f>
        <v>749991.18203389831</v>
      </c>
      <c r="D20" s="30"/>
      <c r="G20" s="30"/>
      <c r="I20">
        <f>I15/$M$15</f>
        <v>0.47619047619047616</v>
      </c>
      <c r="J20">
        <f t="shared" ref="J20:M20" si="9">J15/$M$15</f>
        <v>0.11904761904761904</v>
      </c>
      <c r="K20">
        <f t="shared" si="9"/>
        <v>0.2857142857142857</v>
      </c>
      <c r="L20">
        <f t="shared" si="9"/>
        <v>0.11904761904761904</v>
      </c>
      <c r="M20">
        <f t="shared" si="9"/>
        <v>1</v>
      </c>
      <c r="O20" s="32">
        <f>SUM(O9:O19)</f>
        <v>183099.5108644068</v>
      </c>
      <c r="P20" s="32">
        <f>SUM(P9:P19)</f>
        <v>65695.599806779661</v>
      </c>
      <c r="Q20" s="32">
        <f>SUM(Q9:Q19)</f>
        <v>110492.9523559322</v>
      </c>
      <c r="R20" s="32">
        <f>SUM(R9:R19)</f>
        <v>50078.365016949159</v>
      </c>
      <c r="S20" s="49">
        <f>Tower!I8</f>
        <v>50192.150349650357</v>
      </c>
      <c r="T20" s="75">
        <f>S20-R20</f>
        <v>113.78533270119806</v>
      </c>
      <c r="U20" s="25"/>
      <c r="V20" s="157"/>
      <c r="W20" s="29" t="s">
        <v>33</v>
      </c>
      <c r="X20" s="238">
        <f>X8+X4</f>
        <v>1835</v>
      </c>
      <c r="Y20" s="241">
        <f>Y8+Y4</f>
        <v>655376.14800000004</v>
      </c>
      <c r="Z20" s="40"/>
      <c r="AA20" s="40"/>
      <c r="AB20" s="40"/>
      <c r="AC20" s="40"/>
      <c r="AD20" s="40"/>
      <c r="AE20" s="40"/>
      <c r="AF20" s="40"/>
      <c r="AG20" s="40"/>
      <c r="AH20" s="195"/>
    </row>
    <row r="21" spans="1:34" ht="15" thickBot="1" x14ac:dyDescent="0.35">
      <c r="A21" s="29"/>
      <c r="B21" s="30"/>
      <c r="C21" s="30"/>
      <c r="D21" s="30"/>
      <c r="G21" s="30"/>
      <c r="O21" s="27"/>
      <c r="P21" s="27"/>
      <c r="Q21" s="27"/>
      <c r="R21"/>
      <c r="S21" s="25"/>
      <c r="T21" s="25"/>
      <c r="U21" s="25"/>
      <c r="V21" s="170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2"/>
    </row>
    <row r="22" spans="1:34" ht="15" thickBot="1" x14ac:dyDescent="0.35">
      <c r="A22" s="29"/>
      <c r="B22" s="30"/>
      <c r="C22" s="30"/>
      <c r="D22" s="30"/>
      <c r="G22" s="30"/>
      <c r="R22"/>
      <c r="S22" s="25"/>
      <c r="T22" s="25"/>
      <c r="U22" s="25"/>
    </row>
    <row r="23" spans="1:34" ht="15" thickBot="1" x14ac:dyDescent="0.35">
      <c r="A23" s="29"/>
      <c r="B23" s="30"/>
      <c r="C23" s="30"/>
      <c r="D23" s="30"/>
      <c r="G23" s="30"/>
      <c r="O23" s="32">
        <f>O20+O8</f>
        <v>300263.02953133988</v>
      </c>
      <c r="P23" s="32">
        <f>P20+P8</f>
        <v>202428.09980677965</v>
      </c>
      <c r="Q23" s="32">
        <f>Q20+Q8</f>
        <v>247458.5023559322</v>
      </c>
      <c r="R23" s="27">
        <f>SUM(O23:Q23)</f>
        <v>750149.63169405167</v>
      </c>
      <c r="S23" s="25"/>
      <c r="T23" s="25"/>
      <c r="U23" s="25"/>
      <c r="V23" s="242"/>
      <c r="W23" s="155"/>
      <c r="X23" s="155"/>
      <c r="Y23" s="155"/>
      <c r="Z23" s="155"/>
      <c r="AA23" s="155"/>
      <c r="AB23" s="155"/>
      <c r="AC23" s="155"/>
      <c r="AD23" s="155"/>
      <c r="AE23" s="243" t="s">
        <v>69</v>
      </c>
      <c r="AF23" s="243"/>
      <c r="AG23" s="243"/>
      <c r="AH23" s="156"/>
    </row>
    <row r="24" spans="1:34" x14ac:dyDescent="0.3">
      <c r="A24" s="29"/>
      <c r="B24" s="30"/>
      <c r="C24" s="30"/>
      <c r="D24" s="30"/>
      <c r="G24" s="30"/>
      <c r="O24" s="27">
        <f>O27-O23</f>
        <v>-266.55671778088436</v>
      </c>
      <c r="P24" s="27">
        <f t="shared" ref="P24" si="10">P27-P23</f>
        <v>69.519342372921528</v>
      </c>
      <c r="Q24" s="27">
        <f>Q27-Q23</f>
        <v>38.587715253786882</v>
      </c>
      <c r="R24" s="27">
        <f>C8+C4</f>
        <v>749991.18203389831</v>
      </c>
      <c r="S24" s="25"/>
      <c r="T24" s="25"/>
      <c r="U24" s="25"/>
      <c r="V24" s="157"/>
      <c r="W24" s="4" t="s">
        <v>19</v>
      </c>
      <c r="X24" s="6">
        <f>X26+X28</f>
        <v>400</v>
      </c>
      <c r="Y24" s="6">
        <v>600000</v>
      </c>
      <c r="Z24" s="40"/>
      <c r="AA24" s="40"/>
      <c r="AB24" s="40"/>
      <c r="AC24" s="40"/>
      <c r="AD24" s="40"/>
      <c r="AE24" s="44" t="s">
        <v>63</v>
      </c>
      <c r="AF24" s="44" t="s">
        <v>64</v>
      </c>
      <c r="AG24" s="44" t="s">
        <v>65</v>
      </c>
      <c r="AH24" s="195"/>
    </row>
    <row r="25" spans="1:34" x14ac:dyDescent="0.3">
      <c r="L25" s="33"/>
      <c r="M25" s="33"/>
      <c r="N25" s="33"/>
      <c r="R25" s="27">
        <f>R24-R23</f>
        <v>-158.44966015336104</v>
      </c>
      <c r="S25" s="25"/>
      <c r="T25" s="25"/>
      <c r="U25" s="25"/>
      <c r="V25" s="157"/>
      <c r="W25" s="2" t="s">
        <v>20</v>
      </c>
      <c r="X25" s="9"/>
      <c r="Y25" s="10">
        <v>356276</v>
      </c>
      <c r="Z25" s="40"/>
      <c r="AA25" s="40"/>
      <c r="AB25" s="40"/>
      <c r="AC25" s="40"/>
      <c r="AD25" s="40"/>
      <c r="AE25" s="71">
        <v>0.25</v>
      </c>
      <c r="AF25" s="71"/>
      <c r="AG25" s="71">
        <v>0.75</v>
      </c>
      <c r="AH25" s="195" t="s">
        <v>155</v>
      </c>
    </row>
    <row r="26" spans="1:34" x14ac:dyDescent="0.3">
      <c r="R26"/>
      <c r="S26" s="25"/>
      <c r="T26" s="25"/>
      <c r="U26" s="25"/>
      <c r="V26" s="157"/>
      <c r="W26" s="2" t="s">
        <v>21</v>
      </c>
      <c r="X26" s="9">
        <v>300</v>
      </c>
      <c r="Y26" s="109">
        <v>27000</v>
      </c>
      <c r="Z26" s="37"/>
      <c r="AA26" s="40"/>
      <c r="AB26" s="40"/>
      <c r="AC26" s="40"/>
      <c r="AD26" s="40"/>
      <c r="AE26" s="44">
        <v>100</v>
      </c>
      <c r="AF26" s="44">
        <v>100</v>
      </c>
      <c r="AG26" s="44">
        <v>100</v>
      </c>
      <c r="AH26" s="195"/>
    </row>
    <row r="27" spans="1:34" x14ac:dyDescent="0.3">
      <c r="O27" s="47">
        <v>299996.472813559</v>
      </c>
      <c r="P27" s="47">
        <v>202497.61914915257</v>
      </c>
      <c r="Q27" s="47">
        <v>247497.09007118599</v>
      </c>
      <c r="R27" s="47">
        <v>749991.18203389796</v>
      </c>
      <c r="S27" s="25"/>
      <c r="T27" s="25"/>
      <c r="U27" s="25"/>
      <c r="V27" s="157"/>
      <c r="W27" s="2" t="s">
        <v>22</v>
      </c>
      <c r="X27" s="9"/>
      <c r="Y27" s="10"/>
      <c r="Z27" s="40" t="s">
        <v>125</v>
      </c>
      <c r="AA27" s="40"/>
      <c r="AB27" s="40"/>
      <c r="AC27" s="40"/>
      <c r="AD27" s="40"/>
      <c r="AE27" s="44"/>
      <c r="AF27" s="44"/>
      <c r="AG27" s="44"/>
      <c r="AH27" s="195"/>
    </row>
    <row r="28" spans="1:34" x14ac:dyDescent="0.3">
      <c r="V28" s="157"/>
      <c r="W28" s="2" t="s">
        <v>23</v>
      </c>
      <c r="X28" s="9">
        <v>100</v>
      </c>
      <c r="Y28" s="10">
        <v>80000</v>
      </c>
      <c r="Z28" s="40"/>
      <c r="AA28" s="40"/>
      <c r="AB28" s="40"/>
      <c r="AC28" s="40"/>
      <c r="AD28" s="40"/>
      <c r="AE28" s="44">
        <v>30</v>
      </c>
      <c r="AF28" s="44">
        <v>25</v>
      </c>
      <c r="AG28" s="44">
        <v>45</v>
      </c>
      <c r="AH28" s="195"/>
    </row>
    <row r="29" spans="1:34" ht="15" thickBot="1" x14ac:dyDescent="0.35">
      <c r="I29" s="286" t="s">
        <v>69</v>
      </c>
      <c r="J29" s="286"/>
      <c r="K29" s="286"/>
      <c r="V29" s="157"/>
      <c r="W29" s="2" t="s">
        <v>24</v>
      </c>
      <c r="X29" s="9"/>
      <c r="Y29" s="10">
        <v>70000</v>
      </c>
      <c r="Z29" s="40"/>
      <c r="AA29" s="40"/>
      <c r="AB29" s="40"/>
      <c r="AC29" s="40"/>
      <c r="AD29" s="40"/>
      <c r="AE29" s="71">
        <v>0.3</v>
      </c>
      <c r="AF29" s="71">
        <v>0.2846153846153846</v>
      </c>
      <c r="AG29" s="71">
        <v>0.41538461538461541</v>
      </c>
      <c r="AH29" s="195" t="s">
        <v>155</v>
      </c>
    </row>
    <row r="30" spans="1:34" ht="15" thickBot="1" x14ac:dyDescent="0.35">
      <c r="A30" s="4" t="s">
        <v>19</v>
      </c>
      <c r="B30" s="6">
        <v>515</v>
      </c>
      <c r="C30" s="6">
        <v>600000</v>
      </c>
      <c r="I30" s="44" t="s">
        <v>63</v>
      </c>
      <c r="J30" s="44" t="s">
        <v>64</v>
      </c>
      <c r="K30" s="44" t="s">
        <v>65</v>
      </c>
      <c r="V30" s="170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2"/>
    </row>
    <row r="31" spans="1:34" x14ac:dyDescent="0.3">
      <c r="A31" s="2" t="s">
        <v>20</v>
      </c>
      <c r="B31" s="9"/>
      <c r="C31" s="10">
        <v>400000</v>
      </c>
      <c r="I31" s="71">
        <v>0.25</v>
      </c>
      <c r="J31" s="71"/>
      <c r="K31" s="71">
        <v>0.75</v>
      </c>
      <c r="L31" t="s">
        <v>80</v>
      </c>
      <c r="P31">
        <v>45</v>
      </c>
      <c r="Q31" s="33">
        <f>P31*I31</f>
        <v>11.25</v>
      </c>
      <c r="R31" s="33">
        <f>P31*K31</f>
        <v>33.75</v>
      </c>
    </row>
    <row r="32" spans="1:34" x14ac:dyDescent="0.3">
      <c r="A32" s="2" t="s">
        <v>21</v>
      </c>
      <c r="B32" s="9">
        <v>300</v>
      </c>
      <c r="C32" s="109">
        <v>27000</v>
      </c>
      <c r="D32" s="27"/>
      <c r="I32" s="44">
        <v>100</v>
      </c>
      <c r="J32" s="44">
        <v>100</v>
      </c>
      <c r="K32" s="44">
        <v>100</v>
      </c>
    </row>
    <row r="33" spans="1:12" x14ac:dyDescent="0.3">
      <c r="A33" s="2" t="s">
        <v>22</v>
      </c>
      <c r="B33" s="9">
        <v>115</v>
      </c>
      <c r="C33" s="10">
        <v>23000</v>
      </c>
      <c r="D33" t="s">
        <v>125</v>
      </c>
      <c r="I33" s="44">
        <v>30</v>
      </c>
      <c r="J33" s="44">
        <v>40</v>
      </c>
      <c r="K33" s="44">
        <v>45</v>
      </c>
    </row>
    <row r="34" spans="1:12" x14ac:dyDescent="0.3">
      <c r="A34" s="2" t="s">
        <v>23</v>
      </c>
      <c r="B34" s="9">
        <v>100</v>
      </c>
      <c r="C34" s="10">
        <v>80000</v>
      </c>
      <c r="I34" s="44">
        <v>30</v>
      </c>
      <c r="J34" s="44">
        <v>25</v>
      </c>
      <c r="K34" s="44">
        <v>45</v>
      </c>
    </row>
    <row r="35" spans="1:12" x14ac:dyDescent="0.3">
      <c r="A35" s="2" t="s">
        <v>24</v>
      </c>
      <c r="B35" s="9"/>
      <c r="C35" s="10">
        <v>70000</v>
      </c>
      <c r="I35" s="71">
        <v>0.3</v>
      </c>
      <c r="J35" s="71">
        <v>0.2846153846153846</v>
      </c>
      <c r="K35" s="71">
        <v>0.41538461538461541</v>
      </c>
      <c r="L35" t="s">
        <v>80</v>
      </c>
    </row>
  </sheetData>
  <mergeCells count="1">
    <mergeCell ref="I29:K29"/>
  </mergeCells>
  <conditionalFormatting sqref="A8">
    <cfRule type="duplicateValues" dxfId="11" priority="12"/>
  </conditionalFormatting>
  <conditionalFormatting sqref="A4">
    <cfRule type="duplicateValues" dxfId="10" priority="13"/>
  </conditionalFormatting>
  <conditionalFormatting sqref="A3">
    <cfRule type="duplicateValues" dxfId="9" priority="11"/>
  </conditionalFormatting>
  <conditionalFormatting sqref="C3:E3 G3">
    <cfRule type="duplicateValues" dxfId="8" priority="10"/>
  </conditionalFormatting>
  <conditionalFormatting sqref="B3">
    <cfRule type="duplicateValues" dxfId="7" priority="9"/>
  </conditionalFormatting>
  <conditionalFormatting sqref="A30">
    <cfRule type="duplicateValues" dxfId="6" priority="7"/>
  </conditionalFormatting>
  <conditionalFormatting sqref="W8">
    <cfRule type="duplicateValues" dxfId="5" priority="5"/>
  </conditionalFormatting>
  <conditionalFormatting sqref="W4">
    <cfRule type="duplicateValues" dxfId="4" priority="6"/>
  </conditionalFormatting>
  <conditionalFormatting sqref="W3">
    <cfRule type="duplicateValues" dxfId="3" priority="4"/>
  </conditionalFormatting>
  <conditionalFormatting sqref="X3">
    <cfRule type="duplicateValues" dxfId="2" priority="2"/>
  </conditionalFormatting>
  <conditionalFormatting sqref="Y3:AA3">
    <cfRule type="duplicateValues" dxfId="1" priority="14"/>
  </conditionalFormatting>
  <conditionalFormatting sqref="W2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CA47-FE9C-461D-A737-6FD8B7781686}">
  <dimension ref="A1:AQ48"/>
  <sheetViews>
    <sheetView topLeftCell="P1" zoomScale="86" zoomScaleNormal="86" workbookViewId="0">
      <selection activeCell="W30" sqref="W30"/>
    </sheetView>
  </sheetViews>
  <sheetFormatPr defaultRowHeight="14.4" x14ac:dyDescent="0.3"/>
  <cols>
    <col min="1" max="1" width="32.6640625" customWidth="1"/>
    <col min="2" max="2" width="12.88671875" bestFit="1" customWidth="1"/>
    <col min="3" max="4" width="16.6640625" customWidth="1"/>
    <col min="5" max="5" width="13.44140625" customWidth="1"/>
    <col min="6" max="6" width="16.109375" bestFit="1" customWidth="1"/>
    <col min="7" max="7" width="13.5546875" bestFit="1" customWidth="1"/>
    <col min="8" max="8" width="2.6640625" customWidth="1"/>
    <col min="9" max="9" width="13.33203125" bestFit="1" customWidth="1"/>
    <col min="10" max="10" width="13.109375" bestFit="1" customWidth="1"/>
    <col min="11" max="11" width="12.33203125" bestFit="1" customWidth="1"/>
    <col min="12" max="12" width="3" customWidth="1"/>
    <col min="13" max="14" width="14.33203125" bestFit="1" customWidth="1"/>
    <col min="15" max="17" width="12.6640625" customWidth="1"/>
    <col min="19" max="19" width="36" bestFit="1" customWidth="1"/>
    <col min="20" max="20" width="20.109375" customWidth="1"/>
    <col min="21" max="21" width="11.6640625" hidden="1" customWidth="1"/>
    <col min="22" max="22" width="19.109375" hidden="1" customWidth="1"/>
    <col min="23" max="23" width="11.44140625" customWidth="1"/>
    <col min="24" max="24" width="10" bestFit="1" customWidth="1"/>
    <col min="25" max="25" width="21.88671875" hidden="1" customWidth="1"/>
    <col min="26" max="26" width="8.6640625" hidden="1" customWidth="1"/>
    <col min="27" max="27" width="13.33203125" style="26" hidden="1" customWidth="1"/>
    <col min="28" max="28" width="28.44140625" hidden="1" customWidth="1"/>
    <col min="29" max="29" width="12.6640625" hidden="1" customWidth="1"/>
    <col min="30" max="30" width="13" hidden="1" customWidth="1"/>
    <col min="31" max="31" width="11.6640625" hidden="1" customWidth="1"/>
    <col min="32" max="32" width="0" hidden="1" customWidth="1"/>
    <col min="33" max="33" width="14" hidden="1" customWidth="1"/>
    <col min="34" max="34" width="14.109375" hidden="1" customWidth="1"/>
    <col min="35" max="35" width="10.5546875" hidden="1" customWidth="1"/>
    <col min="36" max="36" width="0" hidden="1" customWidth="1"/>
    <col min="37" max="40" width="10.5546875" hidden="1" customWidth="1"/>
    <col min="41" max="42" width="0" hidden="1" customWidth="1"/>
    <col min="43" max="43" width="31.6640625" hidden="1" customWidth="1"/>
  </cols>
  <sheetData>
    <row r="1" spans="1:43" ht="15" thickBot="1" x14ac:dyDescent="0.35"/>
    <row r="2" spans="1:43" ht="29.25" customHeight="1" thickBot="1" x14ac:dyDescent="0.35">
      <c r="R2" s="154"/>
      <c r="S2" s="155"/>
      <c r="T2" s="211"/>
      <c r="U2" s="211">
        <v>0.27</v>
      </c>
      <c r="V2" s="211"/>
      <c r="W2" s="211"/>
      <c r="X2" s="211"/>
      <c r="Y2" s="256">
        <f>SUM(Y5,Y6,Y8)</f>
        <v>43971</v>
      </c>
      <c r="Z2" s="155"/>
      <c r="AA2" s="211"/>
      <c r="AB2" s="155"/>
      <c r="AC2" s="155">
        <f>AC5/AE5</f>
        <v>0.59</v>
      </c>
      <c r="AD2" s="155">
        <f>AD5/AE5</f>
        <v>0.41</v>
      </c>
      <c r="AE2" s="257">
        <f>SUM(AE5:AE8)</f>
        <v>43653</v>
      </c>
      <c r="AF2" s="257">
        <f>AE2-Y2</f>
        <v>-318</v>
      </c>
      <c r="AG2" s="155"/>
      <c r="AH2" s="155"/>
      <c r="AI2" s="155"/>
      <c r="AJ2" s="155"/>
      <c r="AK2" s="211">
        <v>0.4</v>
      </c>
      <c r="AL2" s="211">
        <v>0.27</v>
      </c>
      <c r="AM2" s="211">
        <v>0.33</v>
      </c>
      <c r="AN2" s="156"/>
    </row>
    <row r="3" spans="1:43" ht="30.75" customHeight="1" x14ac:dyDescent="0.3">
      <c r="C3" s="51" t="s">
        <v>28</v>
      </c>
      <c r="D3" s="51" t="s">
        <v>129</v>
      </c>
      <c r="E3" s="104" t="s">
        <v>122</v>
      </c>
      <c r="G3">
        <v>3.6</v>
      </c>
      <c r="R3" s="157"/>
      <c r="S3" s="154"/>
      <c r="T3" s="155"/>
      <c r="U3" s="184" t="s">
        <v>28</v>
      </c>
      <c r="V3" s="293" t="s">
        <v>150</v>
      </c>
      <c r="W3" s="293"/>
      <c r="X3" s="184"/>
      <c r="Y3" s="185"/>
      <c r="Z3" s="155"/>
      <c r="AA3" s="155">
        <v>3.6</v>
      </c>
      <c r="AB3" s="220" t="s">
        <v>124</v>
      </c>
      <c r="AC3" s="155"/>
      <c r="AD3" s="155"/>
      <c r="AE3" s="156"/>
      <c r="AF3" s="40"/>
      <c r="AG3" s="40"/>
      <c r="AH3" s="40"/>
      <c r="AI3" s="40"/>
      <c r="AJ3" s="40"/>
      <c r="AK3" s="40"/>
      <c r="AL3" s="40"/>
      <c r="AM3" s="40"/>
      <c r="AN3" s="195"/>
    </row>
    <row r="4" spans="1:43" ht="15" thickBot="1" x14ac:dyDescent="0.35">
      <c r="A4" s="89" t="s">
        <v>26</v>
      </c>
      <c r="B4" s="90" t="s">
        <v>27</v>
      </c>
      <c r="C4" s="90" t="s">
        <v>28</v>
      </c>
      <c r="D4" s="98"/>
      <c r="E4" s="105"/>
      <c r="F4" s="98" t="s">
        <v>29</v>
      </c>
      <c r="G4" s="90" t="s">
        <v>30</v>
      </c>
      <c r="I4" s="98" t="s">
        <v>31</v>
      </c>
      <c r="J4" s="90" t="s">
        <v>32</v>
      </c>
      <c r="K4" s="90" t="s">
        <v>33</v>
      </c>
      <c r="M4" s="98" t="s">
        <v>34</v>
      </c>
      <c r="N4" s="90" t="s">
        <v>35</v>
      </c>
      <c r="O4" s="90" t="s">
        <v>33</v>
      </c>
      <c r="R4" s="157"/>
      <c r="S4" s="204" t="s">
        <v>26</v>
      </c>
      <c r="T4" s="205" t="s">
        <v>151</v>
      </c>
      <c r="U4" s="205" t="s">
        <v>28</v>
      </c>
      <c r="V4" s="205" t="s">
        <v>152</v>
      </c>
      <c r="W4" s="263" t="s">
        <v>157</v>
      </c>
      <c r="X4" s="205" t="s">
        <v>33</v>
      </c>
      <c r="Y4" s="205" t="s">
        <v>156</v>
      </c>
      <c r="Z4" s="205" t="s">
        <v>134</v>
      </c>
      <c r="AA4" s="205" t="s">
        <v>30</v>
      </c>
      <c r="AB4" s="205" t="s">
        <v>153</v>
      </c>
      <c r="AC4" s="205" t="s">
        <v>31</v>
      </c>
      <c r="AD4" s="205" t="s">
        <v>32</v>
      </c>
      <c r="AE4" s="206" t="s">
        <v>154</v>
      </c>
      <c r="AF4" s="40"/>
      <c r="AG4" s="198" t="s">
        <v>34</v>
      </c>
      <c r="AH4" s="199" t="s">
        <v>35</v>
      </c>
      <c r="AI4" s="200" t="s">
        <v>33</v>
      </c>
      <c r="AJ4" s="40"/>
      <c r="AK4" s="189" t="s">
        <v>71</v>
      </c>
      <c r="AL4" s="190" t="s">
        <v>72</v>
      </c>
      <c r="AM4" s="191" t="s">
        <v>73</v>
      </c>
      <c r="AN4" s="195"/>
      <c r="AQ4" s="259" t="s">
        <v>26</v>
      </c>
    </row>
    <row r="5" spans="1:43" ht="15" thickTop="1" x14ac:dyDescent="0.3">
      <c r="A5" s="91" t="s">
        <v>36</v>
      </c>
      <c r="B5" s="92">
        <v>12142</v>
      </c>
      <c r="C5" s="92">
        <f>IF(Glasses!$K5-Glasses!$B5&gt;0,Glasses!$K5-Glasses!$B5-B6-B8,0)</f>
        <v>5029</v>
      </c>
      <c r="D5" s="106">
        <v>13000</v>
      </c>
      <c r="E5" s="105"/>
      <c r="F5" s="99">
        <f>0.62*G3</f>
        <v>2.2320000000000002</v>
      </c>
      <c r="G5" s="92">
        <f>Glasses!$C5*Glasses!$F5</f>
        <v>11224.728000000001</v>
      </c>
      <c r="I5" s="99">
        <v>21000</v>
      </c>
      <c r="J5" s="92">
        <v>15000</v>
      </c>
      <c r="K5" s="92">
        <f>SUM(Glasses!$I5:$J5)</f>
        <v>36000</v>
      </c>
      <c r="M5" s="99">
        <f>Glasses!$I5*Glasses!$F5</f>
        <v>46872.000000000007</v>
      </c>
      <c r="N5" s="92">
        <f>Glasses!$J5*Glasses!$F5</f>
        <v>33480</v>
      </c>
      <c r="O5" s="92">
        <f>SUM(Glasses!$M5:$N5)</f>
        <v>80352</v>
      </c>
      <c r="R5" s="157"/>
      <c r="S5" s="201" t="s">
        <v>36</v>
      </c>
      <c r="T5" s="176">
        <v>12142</v>
      </c>
      <c r="U5" s="176">
        <f>IF(Glasses!$K5-Glasses!$B5&gt;0,Glasses!$K5-Glasses!$B5-T6-T8,0)</f>
        <v>5029</v>
      </c>
      <c r="V5" s="176">
        <v>9139</v>
      </c>
      <c r="W5" s="176">
        <v>13000</v>
      </c>
      <c r="X5" s="176">
        <f>W5+V5</f>
        <v>22139</v>
      </c>
      <c r="Y5" s="176">
        <f>Table3[[#This Row],[new order ]]+Table3[[#This Row],[Stock q-ty jan 2020]]</f>
        <v>25142</v>
      </c>
      <c r="Z5" s="177">
        <f>0.62*AA3</f>
        <v>2.2320000000000002</v>
      </c>
      <c r="AA5" s="176">
        <f>Z5*W5</f>
        <v>29016.000000000004</v>
      </c>
      <c r="AB5" s="219" t="s">
        <v>131</v>
      </c>
      <c r="AC5" s="176">
        <f>Y5*0.59</f>
        <v>14833.779999999999</v>
      </c>
      <c r="AD5" s="176">
        <f>Table3[[#This Row],[old stock +new order]]*0.41</f>
        <v>10308.219999999999</v>
      </c>
      <c r="AE5" s="203">
        <f>AD5+AC5</f>
        <v>25142</v>
      </c>
      <c r="AF5" s="212">
        <f>Table3[[#This Row],[Total2]]-Table3[[#This Row],[old stock +new order]]</f>
        <v>0</v>
      </c>
      <c r="AG5" s="196">
        <f>AC5*Z5</f>
        <v>33108.996960000004</v>
      </c>
      <c r="AH5" s="186">
        <f>AD5*Z5</f>
        <v>23007.947039999999</v>
      </c>
      <c r="AI5" s="197">
        <f>AH5+AG5</f>
        <v>56116.944000000003</v>
      </c>
      <c r="AJ5" s="212"/>
      <c r="AK5" s="187">
        <f>AD5*$AK$2</f>
        <v>4123.2879999999996</v>
      </c>
      <c r="AL5" s="64">
        <f t="shared" ref="AL5:AL32" si="0">AD5*$AL$2</f>
        <v>2783.2194</v>
      </c>
      <c r="AM5" s="188">
        <f t="shared" ref="AM5:AM32" si="1">AD5*$AM$2</f>
        <v>3401.7125999999998</v>
      </c>
      <c r="AN5" s="213"/>
      <c r="AP5" s="258">
        <f>Table3[[#This Row],[Total2]]-Table3[[#This Row],[old stock +new order]]</f>
        <v>0</v>
      </c>
      <c r="AQ5" s="260" t="s">
        <v>36</v>
      </c>
    </row>
    <row r="6" spans="1:43" x14ac:dyDescent="0.3">
      <c r="A6" s="93" t="s">
        <v>37</v>
      </c>
      <c r="B6" s="94">
        <v>13511</v>
      </c>
      <c r="C6" s="94">
        <f>IF(Glasses!$K6-Glasses!$B6&gt;0,Glasses!$K6-Glasses!$B6,0)</f>
        <v>0</v>
      </c>
      <c r="D6" s="107">
        <v>0</v>
      </c>
      <c r="E6" s="105"/>
      <c r="F6" s="100">
        <v>0</v>
      </c>
      <c r="G6" s="94">
        <f>Glasses!$C6*Glasses!$F6</f>
        <v>0</v>
      </c>
      <c r="I6" s="100">
        <v>0</v>
      </c>
      <c r="J6" s="94">
        <v>0</v>
      </c>
      <c r="K6" s="94">
        <f>SUM(Glasses!$I6:$J6)</f>
        <v>0</v>
      </c>
      <c r="M6" s="100">
        <f>Glasses!$I6*Glasses!$F6</f>
        <v>0</v>
      </c>
      <c r="N6" s="94">
        <f>Glasses!$J6*Glasses!$F6</f>
        <v>0</v>
      </c>
      <c r="O6" s="94">
        <f>SUM(Glasses!$M6:$N6)</f>
        <v>0</v>
      </c>
      <c r="R6" s="157"/>
      <c r="S6" s="202" t="s">
        <v>37</v>
      </c>
      <c r="T6" s="178">
        <v>13511</v>
      </c>
      <c r="U6" s="178">
        <f>IF(Glasses!$K6-Glasses!$B6&gt;0,Glasses!$K6-Glasses!$B6,0)</f>
        <v>0</v>
      </c>
      <c r="V6" s="178">
        <f>400+456</f>
        <v>856</v>
      </c>
      <c r="W6" s="178">
        <v>0</v>
      </c>
      <c r="X6" s="176">
        <f t="shared" ref="X6:X32" si="2">W6+V6</f>
        <v>856</v>
      </c>
      <c r="Y6" s="176">
        <f>Table3[[#This Row],[new order ]]+Table3[[#This Row],[Stock q-ty jan 2020]]</f>
        <v>13511</v>
      </c>
      <c r="Z6" s="179">
        <v>0</v>
      </c>
      <c r="AA6" s="178">
        <f>Glasses!$C6*Glasses!$F6</f>
        <v>0</v>
      </c>
      <c r="AB6" s="219"/>
      <c r="AC6" s="178">
        <f>Table3[[#This Row],[old stock +new order]]</f>
        <v>13511</v>
      </c>
      <c r="AD6" s="178"/>
      <c r="AE6" s="203">
        <f>AD6+AC6</f>
        <v>13511</v>
      </c>
      <c r="AF6" s="40"/>
      <c r="AG6" s="196">
        <f t="shared" ref="AG6:AG32" si="3">AC6*Z6</f>
        <v>0</v>
      </c>
      <c r="AH6" s="186">
        <f t="shared" ref="AH6:AH32" si="4">AD6*Z6</f>
        <v>0</v>
      </c>
      <c r="AI6" s="197">
        <f t="shared" ref="AI6:AI32" si="5">AH6+AG6</f>
        <v>0</v>
      </c>
      <c r="AJ6" s="212"/>
      <c r="AK6" s="187">
        <f t="shared" ref="AK6:AK32" si="6">AD6*$AK$2</f>
        <v>0</v>
      </c>
      <c r="AL6" s="64">
        <f t="shared" si="0"/>
        <v>0</v>
      </c>
      <c r="AM6" s="188">
        <f t="shared" si="1"/>
        <v>0</v>
      </c>
      <c r="AN6" s="213"/>
      <c r="AP6" s="258">
        <f>Table3[[#This Row],[Total2]]-Table3[[#This Row],[old stock +new order]]</f>
        <v>0</v>
      </c>
      <c r="AQ6" s="261" t="s">
        <v>37</v>
      </c>
    </row>
    <row r="7" spans="1:43" x14ac:dyDescent="0.3">
      <c r="A7" s="95" t="s">
        <v>38</v>
      </c>
      <c r="B7" s="96">
        <v>850</v>
      </c>
      <c r="C7" s="96">
        <f>IF(Glasses!$K7-Glasses!$B7&gt;0,Glasses!$K7-Glasses!$B7,0)</f>
        <v>0</v>
      </c>
      <c r="D7" s="106">
        <v>0</v>
      </c>
      <c r="E7" s="105"/>
      <c r="F7" s="101">
        <v>0</v>
      </c>
      <c r="G7" s="96">
        <f>Glasses!$C7*Glasses!$F7</f>
        <v>0</v>
      </c>
      <c r="I7" s="101">
        <v>0</v>
      </c>
      <c r="J7" s="96">
        <v>0</v>
      </c>
      <c r="K7" s="96">
        <f>SUM(Glasses!$I7:$J7)</f>
        <v>0</v>
      </c>
      <c r="M7" s="101">
        <f>Glasses!$I7*Glasses!$F7</f>
        <v>0</v>
      </c>
      <c r="N7" s="96">
        <f>Glasses!$J7*Glasses!$F7</f>
        <v>0</v>
      </c>
      <c r="O7" s="96">
        <f>SUM(Glasses!$M7:$N7)</f>
        <v>0</v>
      </c>
      <c r="R7" s="157"/>
      <c r="S7" s="201" t="s">
        <v>38</v>
      </c>
      <c r="T7" s="176">
        <v>850</v>
      </c>
      <c r="U7" s="176">
        <f>IF(Glasses!$K7-Glasses!$B7&gt;0,Glasses!$K7-Glasses!$B7,0)</f>
        <v>0</v>
      </c>
      <c r="V7" s="176">
        <v>149000</v>
      </c>
      <c r="W7" s="176">
        <v>0</v>
      </c>
      <c r="X7" s="176">
        <f t="shared" si="2"/>
        <v>149000</v>
      </c>
      <c r="Y7" s="176">
        <f>Table3[[#This Row],[new order ]]+Table3[[#This Row],[Stock q-ty jan 2020]]</f>
        <v>850</v>
      </c>
      <c r="Z7" s="177">
        <v>0</v>
      </c>
      <c r="AA7" s="176">
        <f>Glasses!$C7*Glasses!$F7</f>
        <v>0</v>
      </c>
      <c r="AB7" s="219"/>
      <c r="AC7" s="176">
        <v>0</v>
      </c>
      <c r="AD7" s="176">
        <v>0</v>
      </c>
      <c r="AE7" s="203">
        <f>SUM(Glasses!$I7:$J7)</f>
        <v>0</v>
      </c>
      <c r="AF7" s="40"/>
      <c r="AG7" s="196">
        <f t="shared" si="3"/>
        <v>0</v>
      </c>
      <c r="AH7" s="186">
        <f t="shared" si="4"/>
        <v>0</v>
      </c>
      <c r="AI7" s="197">
        <f t="shared" si="5"/>
        <v>0</v>
      </c>
      <c r="AJ7" s="212"/>
      <c r="AK7" s="187">
        <f t="shared" si="6"/>
        <v>0</v>
      </c>
      <c r="AL7" s="64">
        <f t="shared" si="0"/>
        <v>0</v>
      </c>
      <c r="AM7" s="188">
        <f t="shared" si="1"/>
        <v>0</v>
      </c>
      <c r="AN7" s="213"/>
      <c r="AP7" s="258">
        <f>Table3[[#This Row],[Total2]]-Table3[[#This Row],[old stock +new order]]</f>
        <v>-850</v>
      </c>
      <c r="AQ7" s="260" t="s">
        <v>38</v>
      </c>
    </row>
    <row r="8" spans="1:43" x14ac:dyDescent="0.3">
      <c r="A8" s="93" t="s">
        <v>39</v>
      </c>
      <c r="B8" s="94">
        <v>5318</v>
      </c>
      <c r="C8" s="94">
        <f>IF(Glasses!$K8-Glasses!$B8&gt;0,Glasses!$K8-Glasses!$B8,0)</f>
        <v>0</v>
      </c>
      <c r="D8" s="107">
        <v>0</v>
      </c>
      <c r="E8" s="105"/>
      <c r="F8" s="100">
        <v>0</v>
      </c>
      <c r="G8" s="94">
        <f>Glasses!$C8*Glasses!$F8</f>
        <v>0</v>
      </c>
      <c r="I8" s="100">
        <v>0</v>
      </c>
      <c r="J8" s="94">
        <v>5000</v>
      </c>
      <c r="K8" s="94">
        <f>SUM(Glasses!$I8:$J8)</f>
        <v>5000</v>
      </c>
      <c r="M8" s="100">
        <f>Glasses!$I8*Glasses!$F8</f>
        <v>0</v>
      </c>
      <c r="N8" s="94">
        <f>Glasses!$J8*Glasses!$F8</f>
        <v>0</v>
      </c>
      <c r="O8" s="94">
        <f>SUM(Glasses!$M8:$N8)</f>
        <v>0</v>
      </c>
      <c r="R8" s="157"/>
      <c r="S8" s="202" t="s">
        <v>39</v>
      </c>
      <c r="T8" s="178">
        <v>5318</v>
      </c>
      <c r="U8" s="178">
        <f>IF(Glasses!$K8-Glasses!$B8&gt;0,Glasses!$K8-Glasses!$B8,0)</f>
        <v>0</v>
      </c>
      <c r="V8" s="178">
        <f>66+1029</f>
        <v>1095</v>
      </c>
      <c r="W8" s="178">
        <v>0</v>
      </c>
      <c r="X8" s="176">
        <f t="shared" si="2"/>
        <v>1095</v>
      </c>
      <c r="Y8" s="176">
        <f>Table3[[#This Row],[new order ]]+Table3[[#This Row],[Stock q-ty jan 2020]]</f>
        <v>5318</v>
      </c>
      <c r="Z8" s="179">
        <v>0</v>
      </c>
      <c r="AA8" s="178">
        <f>Glasses!$C8*Glasses!$F8</f>
        <v>0</v>
      </c>
      <c r="AB8" s="219"/>
      <c r="AC8" s="178"/>
      <c r="AD8" s="178">
        <v>5000</v>
      </c>
      <c r="AE8" s="203">
        <f t="shared" ref="AE8:AE32" si="7">AD8+AC8</f>
        <v>5000</v>
      </c>
      <c r="AF8" s="40"/>
      <c r="AG8" s="196">
        <f t="shared" si="3"/>
        <v>0</v>
      </c>
      <c r="AH8" s="186">
        <f t="shared" si="4"/>
        <v>0</v>
      </c>
      <c r="AI8" s="197">
        <f t="shared" si="5"/>
        <v>0</v>
      </c>
      <c r="AJ8" s="212"/>
      <c r="AK8" s="187">
        <f t="shared" si="6"/>
        <v>2000</v>
      </c>
      <c r="AL8" s="64">
        <f t="shared" si="0"/>
        <v>1350</v>
      </c>
      <c r="AM8" s="188">
        <f t="shared" si="1"/>
        <v>1650</v>
      </c>
      <c r="AN8" s="213"/>
      <c r="AP8" s="258">
        <f>Table3[[#This Row],[Total2]]-Table3[[#This Row],[old stock +new order]]</f>
        <v>-318</v>
      </c>
      <c r="AQ8" s="261" t="s">
        <v>39</v>
      </c>
    </row>
    <row r="9" spans="1:43" x14ac:dyDescent="0.3">
      <c r="A9" s="95" t="s">
        <v>40</v>
      </c>
      <c r="B9" s="96"/>
      <c r="C9" s="96">
        <f>IF(Glasses!$K9-Glasses!$B9&gt;0,Glasses!$K9-Glasses!$B9,0)</f>
        <v>9200</v>
      </c>
      <c r="D9" s="106"/>
      <c r="E9" s="105"/>
      <c r="F9" s="101">
        <v>0</v>
      </c>
      <c r="G9" s="96">
        <f>Glasses!$C9*Glasses!$F9</f>
        <v>0</v>
      </c>
      <c r="I9" s="101">
        <v>9200</v>
      </c>
      <c r="J9" s="96"/>
      <c r="K9" s="96">
        <f>SUM(Glasses!$I9:$J9)</f>
        <v>9200</v>
      </c>
      <c r="M9" s="101">
        <f>Glasses!$I9*Glasses!$F9</f>
        <v>0</v>
      </c>
      <c r="N9" s="96">
        <f>Glasses!$J9*Glasses!$F9</f>
        <v>0</v>
      </c>
      <c r="O9" s="96">
        <f>SUM(Glasses!$M9:$N9)</f>
        <v>0</v>
      </c>
      <c r="R9" s="157"/>
      <c r="S9" s="201" t="s">
        <v>40</v>
      </c>
      <c r="T9" s="176">
        <v>0</v>
      </c>
      <c r="U9" s="176">
        <f>IF(Glasses!$K9-Glasses!$B9&gt;0,Glasses!$K9-Glasses!$B9,0)</f>
        <v>9200</v>
      </c>
      <c r="V9" s="176">
        <v>0</v>
      </c>
      <c r="W9" s="176">
        <v>0</v>
      </c>
      <c r="X9" s="176">
        <f t="shared" si="2"/>
        <v>0</v>
      </c>
      <c r="Y9" s="176">
        <f>Table3[[#This Row],[new order ]]+Table3[[#This Row],[Stock q-ty jan 2020]]</f>
        <v>0</v>
      </c>
      <c r="Z9" s="177">
        <v>0</v>
      </c>
      <c r="AA9" s="176">
        <f>Glasses!$C9*Glasses!$F9</f>
        <v>0</v>
      </c>
      <c r="AB9" s="219"/>
      <c r="AC9" s="176">
        <v>0</v>
      </c>
      <c r="AD9" s="176">
        <v>0</v>
      </c>
      <c r="AE9" s="203">
        <f t="shared" si="7"/>
        <v>0</v>
      </c>
      <c r="AF9" s="40"/>
      <c r="AG9" s="196">
        <f t="shared" si="3"/>
        <v>0</v>
      </c>
      <c r="AH9" s="186">
        <f t="shared" si="4"/>
        <v>0</v>
      </c>
      <c r="AI9" s="197">
        <f t="shared" si="5"/>
        <v>0</v>
      </c>
      <c r="AJ9" s="212"/>
      <c r="AK9" s="187">
        <f t="shared" si="6"/>
        <v>0</v>
      </c>
      <c r="AL9" s="64">
        <f t="shared" si="0"/>
        <v>0</v>
      </c>
      <c r="AM9" s="188">
        <f t="shared" si="1"/>
        <v>0</v>
      </c>
      <c r="AN9" s="213"/>
      <c r="AP9" s="258">
        <f>Table3[[#This Row],[Total2]]-Table3[[#This Row],[old stock +new order]]</f>
        <v>0</v>
      </c>
      <c r="AQ9" s="260" t="s">
        <v>40</v>
      </c>
    </row>
    <row r="10" spans="1:43" x14ac:dyDescent="0.3">
      <c r="A10" s="93" t="s">
        <v>41</v>
      </c>
      <c r="B10" s="94"/>
      <c r="C10" s="94">
        <f>IF(Glasses!$K10-Glasses!$B10&gt;0,Glasses!$K10-Glasses!$B10,0)</f>
        <v>6500</v>
      </c>
      <c r="D10" s="151">
        <v>0</v>
      </c>
      <c r="E10" s="105"/>
      <c r="F10" s="100">
        <v>0</v>
      </c>
      <c r="G10" s="94">
        <f>Glasses!$C10*Glasses!$F10</f>
        <v>0</v>
      </c>
      <c r="I10" s="100">
        <v>6500</v>
      </c>
      <c r="J10" s="94"/>
      <c r="K10" s="94">
        <f>SUM(Glasses!$I10:$J10)</f>
        <v>6500</v>
      </c>
      <c r="M10" s="100">
        <f>Glasses!$I10*Glasses!$F10</f>
        <v>0</v>
      </c>
      <c r="N10" s="94">
        <f>Glasses!$J10*Glasses!$F10</f>
        <v>0</v>
      </c>
      <c r="O10" s="94">
        <f>SUM(Glasses!$M10:$N10)</f>
        <v>0</v>
      </c>
      <c r="R10" s="157"/>
      <c r="S10" s="202" t="s">
        <v>41</v>
      </c>
      <c r="T10" s="178">
        <v>0</v>
      </c>
      <c r="U10" s="178">
        <f>IF(Glasses!$K10-Glasses!$B10&gt;0,Glasses!$K10-Glasses!$B10,0)</f>
        <v>6500</v>
      </c>
      <c r="V10" s="178">
        <v>0</v>
      </c>
      <c r="W10" s="180">
        <v>11340</v>
      </c>
      <c r="X10" s="176">
        <f t="shared" si="2"/>
        <v>11340</v>
      </c>
      <c r="Y10" s="176">
        <f>Table3[[#This Row],[new order ]]+Table3[[#This Row],[Stock q-ty jan 2020]]</f>
        <v>11340</v>
      </c>
      <c r="Z10" s="179">
        <v>0</v>
      </c>
      <c r="AA10" s="178">
        <f>Glasses!$C10*Glasses!$F10</f>
        <v>0</v>
      </c>
      <c r="AB10" s="219"/>
      <c r="AC10" s="178">
        <v>0</v>
      </c>
      <c r="AD10" s="178">
        <v>0</v>
      </c>
      <c r="AE10" s="203">
        <f t="shared" si="7"/>
        <v>0</v>
      </c>
      <c r="AF10" s="40"/>
      <c r="AG10" s="196">
        <f t="shared" si="3"/>
        <v>0</v>
      </c>
      <c r="AH10" s="186">
        <f t="shared" si="4"/>
        <v>0</v>
      </c>
      <c r="AI10" s="197">
        <f t="shared" si="5"/>
        <v>0</v>
      </c>
      <c r="AJ10" s="212"/>
      <c r="AK10" s="187">
        <f t="shared" si="6"/>
        <v>0</v>
      </c>
      <c r="AL10" s="64">
        <f t="shared" si="0"/>
        <v>0</v>
      </c>
      <c r="AM10" s="188">
        <f t="shared" si="1"/>
        <v>0</v>
      </c>
      <c r="AN10" s="213"/>
      <c r="AP10" s="258">
        <f>Table3[[#This Row],[Total2]]-Table3[[#This Row],[old stock +new order]]</f>
        <v>-11340</v>
      </c>
      <c r="AQ10" s="261" t="s">
        <v>41</v>
      </c>
    </row>
    <row r="11" spans="1:43" x14ac:dyDescent="0.3">
      <c r="A11" s="95" t="s">
        <v>42</v>
      </c>
      <c r="B11" s="96"/>
      <c r="C11" s="96">
        <f>IF(Glasses!$K11-Glasses!$B11&gt;0,Glasses!$K11-Glasses!$B11,0)</f>
        <v>0</v>
      </c>
      <c r="D11" s="106">
        <v>0</v>
      </c>
      <c r="E11" s="105"/>
      <c r="F11" s="101">
        <v>0</v>
      </c>
      <c r="G11" s="96">
        <f>Glasses!$C11*Glasses!$F11</f>
        <v>0</v>
      </c>
      <c r="I11" s="101"/>
      <c r="J11" s="96"/>
      <c r="K11" s="96">
        <f>SUM(Glasses!$I11:$J11)</f>
        <v>0</v>
      </c>
      <c r="M11" s="101">
        <f>Glasses!$I11*Glasses!$F11</f>
        <v>0</v>
      </c>
      <c r="N11" s="96">
        <f>Glasses!$J11*Glasses!$F11</f>
        <v>0</v>
      </c>
      <c r="O11" s="96">
        <f>SUM(Glasses!$M11:$N11)</f>
        <v>0</v>
      </c>
      <c r="R11" s="157"/>
      <c r="S11" s="201" t="s">
        <v>42</v>
      </c>
      <c r="T11" s="176">
        <v>0</v>
      </c>
      <c r="U11" s="176">
        <f>IF(Glasses!$K11-Glasses!$B11&gt;0,Glasses!$K11-Glasses!$B11,0)</f>
        <v>0</v>
      </c>
      <c r="V11" s="176">
        <v>0</v>
      </c>
      <c r="W11" s="176">
        <v>0</v>
      </c>
      <c r="X11" s="176">
        <f t="shared" si="2"/>
        <v>0</v>
      </c>
      <c r="Y11" s="176">
        <f>Table3[[#This Row],[new order ]]+Table3[[#This Row],[Stock q-ty jan 2020]]</f>
        <v>0</v>
      </c>
      <c r="Z11" s="177">
        <v>0</v>
      </c>
      <c r="AA11" s="176">
        <f>Glasses!$C11*Glasses!$F11</f>
        <v>0</v>
      </c>
      <c r="AB11" s="219"/>
      <c r="AC11" s="176">
        <v>0</v>
      </c>
      <c r="AD11" s="176">
        <v>0</v>
      </c>
      <c r="AE11" s="203">
        <f t="shared" si="7"/>
        <v>0</v>
      </c>
      <c r="AF11" s="40"/>
      <c r="AG11" s="196">
        <f t="shared" si="3"/>
        <v>0</v>
      </c>
      <c r="AH11" s="186">
        <f t="shared" si="4"/>
        <v>0</v>
      </c>
      <c r="AI11" s="197">
        <f t="shared" si="5"/>
        <v>0</v>
      </c>
      <c r="AJ11" s="212"/>
      <c r="AK11" s="187">
        <f t="shared" si="6"/>
        <v>0</v>
      </c>
      <c r="AL11" s="64">
        <f t="shared" si="0"/>
        <v>0</v>
      </c>
      <c r="AM11" s="188">
        <f t="shared" si="1"/>
        <v>0</v>
      </c>
      <c r="AN11" s="213"/>
      <c r="AP11" s="258">
        <f>Table3[[#This Row],[Total2]]-Table3[[#This Row],[old stock +new order]]</f>
        <v>0</v>
      </c>
      <c r="AQ11" s="260" t="s">
        <v>42</v>
      </c>
    </row>
    <row r="12" spans="1:43" x14ac:dyDescent="0.3">
      <c r="A12" s="93" t="s">
        <v>43</v>
      </c>
      <c r="B12" s="94">
        <v>1190</v>
      </c>
      <c r="C12" s="94">
        <f>IF(Glasses!$K12-Glasses!$B12&gt;0,Glasses!$K12-Glasses!$B12,0)</f>
        <v>23710</v>
      </c>
      <c r="D12" s="107">
        <v>23100</v>
      </c>
      <c r="E12" s="105"/>
      <c r="F12" s="100">
        <f>0.66*G3</f>
        <v>2.3760000000000003</v>
      </c>
      <c r="G12" s="94">
        <f>Glasses!$C12*Glasses!$F12</f>
        <v>56334.960000000006</v>
      </c>
      <c r="I12" s="100">
        <v>9900</v>
      </c>
      <c r="J12" s="94">
        <v>15000</v>
      </c>
      <c r="K12" s="94">
        <f>SUM(Glasses!$I12:$J12)</f>
        <v>24900</v>
      </c>
      <c r="M12" s="100">
        <f>Glasses!$I12*Glasses!$F12</f>
        <v>23522.400000000005</v>
      </c>
      <c r="N12" s="94">
        <f>Glasses!$J12*Glasses!$F12</f>
        <v>35640.000000000007</v>
      </c>
      <c r="O12" s="94">
        <f>SUM(Glasses!$M12:$N12)</f>
        <v>59162.400000000009</v>
      </c>
      <c r="R12" s="157"/>
      <c r="S12" s="202" t="s">
        <v>43</v>
      </c>
      <c r="T12" s="178">
        <v>1190</v>
      </c>
      <c r="U12" s="178">
        <f>IF(Glasses!$K12-Glasses!$B12&gt;0,Glasses!$K12-Glasses!$B12,0)</f>
        <v>23710</v>
      </c>
      <c r="V12" s="178">
        <v>24</v>
      </c>
      <c r="W12" s="178">
        <v>23100</v>
      </c>
      <c r="X12" s="176">
        <f>W12+V12</f>
        <v>23124</v>
      </c>
      <c r="Y12" s="176">
        <f>Table3[[#This Row],[new order ]]+Table3[[#This Row],[Stock q-ty jan 2020]]</f>
        <v>24290</v>
      </c>
      <c r="Z12" s="179">
        <f>0.66*AA3</f>
        <v>2.3760000000000003</v>
      </c>
      <c r="AA12" s="176">
        <f t="shared" ref="AA12:AA21" si="8">Z12*W12</f>
        <v>54885.600000000006</v>
      </c>
      <c r="AB12" s="219" t="s">
        <v>132</v>
      </c>
      <c r="AC12" s="178">
        <f>Y12*0.39759</f>
        <v>9657.4611000000004</v>
      </c>
      <c r="AD12" s="178">
        <f>Y12*0.6024</f>
        <v>14632.296</v>
      </c>
      <c r="AE12" s="203">
        <f>AD12+AC12</f>
        <v>24289.757100000003</v>
      </c>
      <c r="AF12" s="40"/>
      <c r="AG12" s="196">
        <f>AC12*Z12</f>
        <v>22946.127573600003</v>
      </c>
      <c r="AH12" s="186">
        <f t="shared" si="4"/>
        <v>34766.335296000005</v>
      </c>
      <c r="AI12" s="197">
        <f t="shared" si="5"/>
        <v>57712.462869600007</v>
      </c>
      <c r="AJ12" s="212"/>
      <c r="AK12" s="187">
        <f t="shared" si="6"/>
        <v>5852.9184000000005</v>
      </c>
      <c r="AL12" s="64">
        <f t="shared" si="0"/>
        <v>3950.7199200000005</v>
      </c>
      <c r="AM12" s="188">
        <f t="shared" si="1"/>
        <v>4828.6576800000003</v>
      </c>
      <c r="AN12" s="213"/>
      <c r="AP12" s="258">
        <f>Table3[[#This Row],[Total2]]-Table3[[#This Row],[old stock +new order]]</f>
        <v>-0.24289999999746215</v>
      </c>
      <c r="AQ12" s="261" t="s">
        <v>43</v>
      </c>
    </row>
    <row r="13" spans="1:43" x14ac:dyDescent="0.3">
      <c r="A13" s="95" t="s">
        <v>44</v>
      </c>
      <c r="B13" s="96">
        <v>6755</v>
      </c>
      <c r="C13" s="96">
        <f>IF(Glasses!$K13-Glasses!$B13&gt;0,Glasses!$K13-Glasses!$B13-B15,0)</f>
        <v>9606</v>
      </c>
      <c r="D13" s="106">
        <v>19000</v>
      </c>
      <c r="E13" s="105"/>
      <c r="F13" s="101">
        <f>1.05*G3</f>
        <v>3.7800000000000002</v>
      </c>
      <c r="G13" s="96">
        <f>Glasses!$C13*Glasses!$F13</f>
        <v>36310.68</v>
      </c>
      <c r="I13" s="101">
        <v>15200</v>
      </c>
      <c r="J13" s="96">
        <v>5000</v>
      </c>
      <c r="K13" s="96">
        <f>SUM(Glasses!$I13:$J13)</f>
        <v>20200</v>
      </c>
      <c r="M13" s="101">
        <f>Glasses!$I13*Glasses!$F13</f>
        <v>57456.000000000007</v>
      </c>
      <c r="N13" s="96">
        <f>Glasses!$J13*Glasses!$F13</f>
        <v>18900</v>
      </c>
      <c r="O13" s="96">
        <f>SUM(Glasses!$M13:$N13)</f>
        <v>76356</v>
      </c>
      <c r="R13" s="157"/>
      <c r="S13" s="201" t="s">
        <v>44</v>
      </c>
      <c r="T13" s="176">
        <v>6755</v>
      </c>
      <c r="U13" s="176">
        <f>IF(Glasses!$K13-Glasses!$B13&gt;0,Glasses!$K13-Glasses!$B13-T15,0)</f>
        <v>9606</v>
      </c>
      <c r="V13" s="176">
        <v>5170</v>
      </c>
      <c r="W13" s="176">
        <v>19000</v>
      </c>
      <c r="X13" s="176">
        <f t="shared" si="2"/>
        <v>24170</v>
      </c>
      <c r="Y13" s="176">
        <f>Table3[[#This Row],[new order ]]+Table3[[#This Row],[Stock q-ty jan 2020]]</f>
        <v>25755</v>
      </c>
      <c r="Z13" s="177">
        <f>1.05*AA3</f>
        <v>3.7800000000000002</v>
      </c>
      <c r="AA13" s="176">
        <f t="shared" si="8"/>
        <v>71820</v>
      </c>
      <c r="AB13" s="219" t="s">
        <v>133</v>
      </c>
      <c r="AC13" s="176">
        <f>Y13*0.7524</f>
        <v>19378.061999999998</v>
      </c>
      <c r="AD13" s="176">
        <f>Y13*0.2475</f>
        <v>6374.3625000000002</v>
      </c>
      <c r="AE13" s="203">
        <f>AD13+AC13</f>
        <v>25752.424499999997</v>
      </c>
      <c r="AF13" s="40"/>
      <c r="AG13" s="196">
        <f t="shared" si="3"/>
        <v>73249.074359999999</v>
      </c>
      <c r="AH13" s="186">
        <f t="shared" si="4"/>
        <v>24095.090250000001</v>
      </c>
      <c r="AI13" s="197">
        <f t="shared" si="5"/>
        <v>97344.164610000007</v>
      </c>
      <c r="AJ13" s="212"/>
      <c r="AK13" s="187">
        <f t="shared" si="6"/>
        <v>2549.7450000000003</v>
      </c>
      <c r="AL13" s="64">
        <f t="shared" si="0"/>
        <v>1721.0778750000002</v>
      </c>
      <c r="AM13" s="188">
        <f t="shared" si="1"/>
        <v>2103.5396250000003</v>
      </c>
      <c r="AN13" s="213"/>
      <c r="AP13" s="258">
        <f>Table3[[#This Row],[Total2]]-Table3[[#This Row],[old stock +new order]]</f>
        <v>-2.5755000000026484</v>
      </c>
      <c r="AQ13" s="260" t="s">
        <v>44</v>
      </c>
    </row>
    <row r="14" spans="1:43" x14ac:dyDescent="0.3">
      <c r="A14" s="93" t="s">
        <v>45</v>
      </c>
      <c r="B14" s="94">
        <v>932</v>
      </c>
      <c r="C14" s="94">
        <f>IF(Glasses!$K14-Glasses!$B14&gt;0,Glasses!$K14-Glasses!$B14,0)</f>
        <v>0</v>
      </c>
      <c r="D14" s="107">
        <v>3500</v>
      </c>
      <c r="E14" s="105"/>
      <c r="F14" s="100">
        <f>0.84*G3</f>
        <v>3.024</v>
      </c>
      <c r="G14" s="94">
        <f>Glasses!$C14*Glasses!$F14</f>
        <v>0</v>
      </c>
      <c r="I14" s="100"/>
      <c r="J14" s="94">
        <v>932</v>
      </c>
      <c r="K14" s="94">
        <f>SUM(Glasses!$I14:$J14)</f>
        <v>932</v>
      </c>
      <c r="M14" s="100">
        <f>Glasses!$I14*Glasses!$F14</f>
        <v>0</v>
      </c>
      <c r="N14" s="94">
        <f>Glasses!$J14*Glasses!$F14</f>
        <v>2818.3679999999999</v>
      </c>
      <c r="O14" s="94">
        <f>SUM(Glasses!$M14:$N14)</f>
        <v>2818.3679999999999</v>
      </c>
      <c r="R14" s="157"/>
      <c r="S14" s="202" t="s">
        <v>45</v>
      </c>
      <c r="T14" s="178">
        <v>932</v>
      </c>
      <c r="U14" s="178">
        <f>IF(Glasses!$K14-Glasses!$B14&gt;0,Glasses!$K14-Glasses!$B14,0)</f>
        <v>0</v>
      </c>
      <c r="V14" s="178">
        <v>481</v>
      </c>
      <c r="W14" s="181">
        <v>3500</v>
      </c>
      <c r="X14" s="176">
        <f t="shared" si="2"/>
        <v>3981</v>
      </c>
      <c r="Y14" s="176">
        <f>Table3[[#This Row],[new order ]]+Table3[[#This Row],[Stock q-ty jan 2020]]</f>
        <v>4432</v>
      </c>
      <c r="Z14" s="179">
        <f>0.84*AA3</f>
        <v>3.024</v>
      </c>
      <c r="AA14" s="176">
        <f t="shared" si="8"/>
        <v>10584</v>
      </c>
      <c r="AB14" s="219" t="s">
        <v>133</v>
      </c>
      <c r="AC14" s="181">
        <v>0</v>
      </c>
      <c r="AD14" s="178">
        <v>3500</v>
      </c>
      <c r="AE14" s="203">
        <f t="shared" si="7"/>
        <v>3500</v>
      </c>
      <c r="AF14" s="40"/>
      <c r="AG14" s="196">
        <f t="shared" si="3"/>
        <v>0</v>
      </c>
      <c r="AH14" s="186">
        <f t="shared" si="4"/>
        <v>10584</v>
      </c>
      <c r="AI14" s="197">
        <f t="shared" si="5"/>
        <v>10584</v>
      </c>
      <c r="AJ14" s="212"/>
      <c r="AK14" s="187">
        <f t="shared" si="6"/>
        <v>1400</v>
      </c>
      <c r="AL14" s="64">
        <f t="shared" si="0"/>
        <v>945.00000000000011</v>
      </c>
      <c r="AM14" s="188">
        <f t="shared" si="1"/>
        <v>1155</v>
      </c>
      <c r="AN14" s="213"/>
      <c r="AP14" s="258">
        <f>Table3[[#This Row],[Total2]]-Table3[[#This Row],[old stock +new order]]</f>
        <v>-932</v>
      </c>
      <c r="AQ14" s="261" t="s">
        <v>45</v>
      </c>
    </row>
    <row r="15" spans="1:43" x14ac:dyDescent="0.3">
      <c r="A15" s="95" t="s">
        <v>46</v>
      </c>
      <c r="B15" s="96">
        <v>3839</v>
      </c>
      <c r="C15" s="96">
        <f>IF(Glasses!$K15-Glasses!$B15&gt;0,Glasses!$K15-Glasses!$B15,0)</f>
        <v>0</v>
      </c>
      <c r="D15" s="107"/>
      <c r="E15" s="105"/>
      <c r="F15" s="101">
        <v>0</v>
      </c>
      <c r="G15" s="96">
        <f>Glasses!$C15*Glasses!$F15</f>
        <v>0</v>
      </c>
      <c r="I15" s="101"/>
      <c r="J15" s="96"/>
      <c r="K15" s="96">
        <f>SUM(Glasses!$I15:$J15)</f>
        <v>0</v>
      </c>
      <c r="M15" s="101">
        <f>Glasses!$I15*Glasses!$F15</f>
        <v>0</v>
      </c>
      <c r="N15" s="96">
        <f>Glasses!$J15*Glasses!$F15</f>
        <v>0</v>
      </c>
      <c r="O15" s="96">
        <f>SUM(Glasses!$M15:$N15)</f>
        <v>0</v>
      </c>
      <c r="R15" s="157"/>
      <c r="S15" s="201" t="s">
        <v>46</v>
      </c>
      <c r="T15" s="176">
        <v>3839</v>
      </c>
      <c r="U15" s="176">
        <f>IF(Glasses!$K15-Glasses!$B15&gt;0,Glasses!$K15-Glasses!$B15,0)</f>
        <v>0</v>
      </c>
      <c r="V15" s="176">
        <v>3113</v>
      </c>
      <c r="W15" s="176"/>
      <c r="X15" s="176">
        <f t="shared" si="2"/>
        <v>3113</v>
      </c>
      <c r="Y15" s="176">
        <f>Table3[[#This Row],[new order ]]+Table3[[#This Row],[Stock q-ty jan 2020]]</f>
        <v>3839</v>
      </c>
      <c r="Z15" s="177">
        <v>0</v>
      </c>
      <c r="AA15" s="176">
        <f t="shared" si="8"/>
        <v>0</v>
      </c>
      <c r="AB15" s="219"/>
      <c r="AC15" s="176">
        <f>Table3[[#This Row],[old stock +new order]]</f>
        <v>3839</v>
      </c>
      <c r="AD15" s="176">
        <v>0</v>
      </c>
      <c r="AE15" s="203">
        <f t="shared" si="7"/>
        <v>3839</v>
      </c>
      <c r="AF15" s="40"/>
      <c r="AG15" s="196">
        <f t="shared" si="3"/>
        <v>0</v>
      </c>
      <c r="AH15" s="186">
        <f t="shared" si="4"/>
        <v>0</v>
      </c>
      <c r="AI15" s="197">
        <f t="shared" si="5"/>
        <v>0</v>
      </c>
      <c r="AJ15" s="212"/>
      <c r="AK15" s="187">
        <f t="shared" si="6"/>
        <v>0</v>
      </c>
      <c r="AL15" s="64">
        <f t="shared" si="0"/>
        <v>0</v>
      </c>
      <c r="AM15" s="188">
        <f t="shared" si="1"/>
        <v>0</v>
      </c>
      <c r="AN15" s="213"/>
      <c r="AP15" s="258">
        <f>Table3[[#This Row],[Total2]]-Table3[[#This Row],[old stock +new order]]</f>
        <v>0</v>
      </c>
      <c r="AQ15" s="260" t="s">
        <v>46</v>
      </c>
    </row>
    <row r="16" spans="1:43" x14ac:dyDescent="0.3">
      <c r="A16" s="93" t="s">
        <v>47</v>
      </c>
      <c r="B16" s="94">
        <v>13900</v>
      </c>
      <c r="C16" s="94">
        <f>IF(Glasses!$K16-Glasses!$B16&gt;0,Glasses!$K16-Glasses!$B16,0)</f>
        <v>0</v>
      </c>
      <c r="D16" s="107">
        <v>0</v>
      </c>
      <c r="E16" s="105"/>
      <c r="F16" s="100">
        <v>0</v>
      </c>
      <c r="G16" s="94">
        <f>Glasses!$C16*Glasses!$F16</f>
        <v>0</v>
      </c>
      <c r="I16" s="100"/>
      <c r="J16" s="94"/>
      <c r="K16" s="94">
        <f>SUM(Glasses!$I16:$J16)</f>
        <v>0</v>
      </c>
      <c r="M16" s="100">
        <f>Glasses!$I16*Glasses!$F16</f>
        <v>0</v>
      </c>
      <c r="N16" s="94">
        <f>Glasses!$J16*Glasses!$F16</f>
        <v>0</v>
      </c>
      <c r="O16" s="94">
        <f>SUM(Glasses!$M16:$N16)</f>
        <v>0</v>
      </c>
      <c r="R16" s="157"/>
      <c r="S16" s="202" t="s">
        <v>47</v>
      </c>
      <c r="T16" s="178">
        <v>13900</v>
      </c>
      <c r="U16" s="178">
        <f>IF(Glasses!$K16-Glasses!$B16&gt;0,Glasses!$K16-Glasses!$B16,0)</f>
        <v>0</v>
      </c>
      <c r="V16" s="178">
        <v>8800</v>
      </c>
      <c r="W16" s="178">
        <v>0</v>
      </c>
      <c r="X16" s="176">
        <f t="shared" si="2"/>
        <v>8800</v>
      </c>
      <c r="Y16" s="176">
        <f>Table3[[#This Row],[new order ]]+Table3[[#This Row],[Stock q-ty jan 2020]]</f>
        <v>13900</v>
      </c>
      <c r="Z16" s="179">
        <v>0</v>
      </c>
      <c r="AA16" s="176">
        <f t="shared" si="8"/>
        <v>0</v>
      </c>
      <c r="AB16" s="219"/>
      <c r="AC16" s="178">
        <v>0</v>
      </c>
      <c r="AD16" s="178">
        <v>0</v>
      </c>
      <c r="AE16" s="203">
        <f t="shared" si="7"/>
        <v>0</v>
      </c>
      <c r="AF16" s="40"/>
      <c r="AG16" s="196">
        <f t="shared" si="3"/>
        <v>0</v>
      </c>
      <c r="AH16" s="186">
        <f t="shared" si="4"/>
        <v>0</v>
      </c>
      <c r="AI16" s="197">
        <f t="shared" si="5"/>
        <v>0</v>
      </c>
      <c r="AJ16" s="212"/>
      <c r="AK16" s="187">
        <f t="shared" si="6"/>
        <v>0</v>
      </c>
      <c r="AL16" s="64">
        <f t="shared" si="0"/>
        <v>0</v>
      </c>
      <c r="AM16" s="188">
        <f t="shared" si="1"/>
        <v>0</v>
      </c>
      <c r="AN16" s="213"/>
      <c r="AP16" s="258">
        <f>Table3[[#This Row],[Total2]]-Table3[[#This Row],[old stock +new order]]</f>
        <v>-13900</v>
      </c>
      <c r="AQ16" s="261" t="s">
        <v>47</v>
      </c>
    </row>
    <row r="17" spans="1:43" x14ac:dyDescent="0.3">
      <c r="A17" s="95" t="s">
        <v>48</v>
      </c>
      <c r="B17" s="96">
        <v>960</v>
      </c>
      <c r="C17" s="96">
        <f>IF(Glasses!$K17-Glasses!$B17&gt;0,Glasses!$K17-Glasses!$B17,0)</f>
        <v>0</v>
      </c>
      <c r="D17" s="106">
        <v>0</v>
      </c>
      <c r="E17" s="105"/>
      <c r="F17" s="101">
        <v>0</v>
      </c>
      <c r="G17" s="96">
        <f>Glasses!$C17*Glasses!$F17</f>
        <v>0</v>
      </c>
      <c r="I17" s="101"/>
      <c r="J17" s="96">
        <v>960</v>
      </c>
      <c r="K17" s="96">
        <f>SUM(Glasses!$I17:$J17)</f>
        <v>960</v>
      </c>
      <c r="M17" s="101">
        <f>Glasses!$I17*Glasses!$F17</f>
        <v>0</v>
      </c>
      <c r="N17" s="96">
        <f>Glasses!$J17*Glasses!$F17</f>
        <v>0</v>
      </c>
      <c r="O17" s="96">
        <f>SUM(Glasses!$M17:$N17)</f>
        <v>0</v>
      </c>
      <c r="R17" s="157"/>
      <c r="S17" s="201" t="s">
        <v>48</v>
      </c>
      <c r="T17" s="176">
        <v>960</v>
      </c>
      <c r="U17" s="176">
        <f>IF(Glasses!$K17-Glasses!$B17&gt;0,Glasses!$K17-Glasses!$B17,0)</f>
        <v>0</v>
      </c>
      <c r="V17" s="182">
        <f>936+444</f>
        <v>1380</v>
      </c>
      <c r="W17" s="176">
        <v>0</v>
      </c>
      <c r="X17" s="176">
        <f>W17+V17</f>
        <v>1380</v>
      </c>
      <c r="Y17" s="176">
        <f>Table3[[#This Row],[new order ]]+Table3[[#This Row],[Stock q-ty jan 2020]]</f>
        <v>960</v>
      </c>
      <c r="Z17" s="177">
        <v>0</v>
      </c>
      <c r="AA17" s="176">
        <f t="shared" si="8"/>
        <v>0</v>
      </c>
      <c r="AB17" s="219"/>
      <c r="AC17" s="183">
        <v>0</v>
      </c>
      <c r="AD17" s="176">
        <v>960</v>
      </c>
      <c r="AE17" s="203">
        <f t="shared" si="7"/>
        <v>960</v>
      </c>
      <c r="AF17" s="40"/>
      <c r="AG17" s="196">
        <f t="shared" si="3"/>
        <v>0</v>
      </c>
      <c r="AH17" s="186">
        <f t="shared" si="4"/>
        <v>0</v>
      </c>
      <c r="AI17" s="197">
        <f t="shared" si="5"/>
        <v>0</v>
      </c>
      <c r="AJ17" s="212"/>
      <c r="AK17" s="187">
        <f t="shared" si="6"/>
        <v>384</v>
      </c>
      <c r="AL17" s="64">
        <f t="shared" si="0"/>
        <v>259.20000000000005</v>
      </c>
      <c r="AM17" s="188">
        <f t="shared" si="1"/>
        <v>316.8</v>
      </c>
      <c r="AN17" s="213"/>
      <c r="AP17" s="258">
        <f>Table3[[#This Row],[Total2]]-Table3[[#This Row],[old stock +new order]]</f>
        <v>0</v>
      </c>
      <c r="AQ17" s="260" t="s">
        <v>48</v>
      </c>
    </row>
    <row r="18" spans="1:43" x14ac:dyDescent="0.3">
      <c r="A18" s="93" t="s">
        <v>49</v>
      </c>
      <c r="B18" s="94">
        <v>3026</v>
      </c>
      <c r="C18" s="94">
        <f>IF(Glasses!$K18-Glasses!$B18&gt;0,Glasses!$K18-Glasses!$B18-B19,0)</f>
        <v>15676</v>
      </c>
      <c r="D18" s="107">
        <v>15120</v>
      </c>
      <c r="E18" s="105" t="s">
        <v>123</v>
      </c>
      <c r="F18" s="100">
        <f>1.09*G3</f>
        <v>3.9240000000000004</v>
      </c>
      <c r="G18" s="94">
        <f>Glasses!$C18*Glasses!$F18</f>
        <v>61512.624000000003</v>
      </c>
      <c r="I18" s="100">
        <v>19000</v>
      </c>
      <c r="J18" s="94">
        <v>3000</v>
      </c>
      <c r="K18" s="94">
        <f>SUM(Glasses!$I18:$J18)</f>
        <v>22000</v>
      </c>
      <c r="M18" s="100">
        <f>Glasses!$I18*Glasses!$F18</f>
        <v>74556</v>
      </c>
      <c r="N18" s="94">
        <f>Glasses!$J18*Glasses!$F18</f>
        <v>11772.000000000002</v>
      </c>
      <c r="O18" s="94">
        <f>SUM(Glasses!$M18:$N18)</f>
        <v>86328</v>
      </c>
      <c r="R18" s="157"/>
      <c r="S18" s="202" t="s">
        <v>49</v>
      </c>
      <c r="T18" s="178">
        <v>3026</v>
      </c>
      <c r="U18" s="178">
        <f>IF(Glasses!$K18-Glasses!$B18&gt;0,Glasses!$K18-Glasses!$B18-T19,0)</f>
        <v>15676</v>
      </c>
      <c r="V18" s="178">
        <f>258+1170</f>
        <v>1428</v>
      </c>
      <c r="W18" s="178">
        <v>15120</v>
      </c>
      <c r="X18" s="176">
        <f>W18+V18</f>
        <v>16548</v>
      </c>
      <c r="Y18" s="176">
        <f>Table3[[#This Row],[new order ]]+Table3[[#This Row],[Stock q-ty jan 2020]]</f>
        <v>18146</v>
      </c>
      <c r="Z18" s="179">
        <f>1.09*AA3</f>
        <v>3.9240000000000004</v>
      </c>
      <c r="AA18" s="176">
        <f t="shared" si="8"/>
        <v>59330.880000000005</v>
      </c>
      <c r="AB18" s="219" t="s">
        <v>133</v>
      </c>
      <c r="AC18" s="178">
        <f>Y18*0.8633</f>
        <v>15665.441799999999</v>
      </c>
      <c r="AD18" s="178">
        <f>Y18*0.1367</f>
        <v>2480.5581999999999</v>
      </c>
      <c r="AE18" s="203">
        <f t="shared" si="7"/>
        <v>18146</v>
      </c>
      <c r="AF18" s="40"/>
      <c r="AG18" s="196">
        <f t="shared" si="3"/>
        <v>61471.193623200001</v>
      </c>
      <c r="AH18" s="186">
        <f t="shared" si="4"/>
        <v>9733.7103768000015</v>
      </c>
      <c r="AI18" s="197">
        <f t="shared" si="5"/>
        <v>71204.90400000001</v>
      </c>
      <c r="AJ18" s="212"/>
      <c r="AK18" s="187">
        <f t="shared" si="6"/>
        <v>992.22328000000005</v>
      </c>
      <c r="AL18" s="64">
        <f t="shared" si="0"/>
        <v>669.75071400000002</v>
      </c>
      <c r="AM18" s="188">
        <f t="shared" si="1"/>
        <v>818.58420599999999</v>
      </c>
      <c r="AN18" s="213"/>
      <c r="AP18" s="258">
        <f>Table3[[#This Row],[Total2]]-Table3[[#This Row],[old stock +new order]]</f>
        <v>0</v>
      </c>
      <c r="AQ18" s="261" t="s">
        <v>49</v>
      </c>
    </row>
    <row r="19" spans="1:43" x14ac:dyDescent="0.3">
      <c r="A19" s="95" t="s">
        <v>50</v>
      </c>
      <c r="B19" s="96">
        <v>3298</v>
      </c>
      <c r="C19" s="96">
        <f>IF(Glasses!$K19-Glasses!$B19&gt;0,Glasses!$K19-Glasses!$B19,0)</f>
        <v>0</v>
      </c>
      <c r="D19" s="106">
        <v>0</v>
      </c>
      <c r="E19" s="105"/>
      <c r="F19" s="101">
        <v>0</v>
      </c>
      <c r="G19" s="96">
        <f>Glasses!$C19*Glasses!$F19</f>
        <v>0</v>
      </c>
      <c r="I19" s="101"/>
      <c r="J19" s="96"/>
      <c r="K19" s="96">
        <f>SUM(Glasses!$I19:$J19)</f>
        <v>0</v>
      </c>
      <c r="M19" s="101">
        <f>Glasses!$I19*Glasses!$F19</f>
        <v>0</v>
      </c>
      <c r="N19" s="96">
        <f>Glasses!$J19*Glasses!$F19</f>
        <v>0</v>
      </c>
      <c r="O19" s="96">
        <f>SUM(Glasses!$M19:$N19)</f>
        <v>0</v>
      </c>
      <c r="R19" s="157"/>
      <c r="S19" s="201" t="s">
        <v>50</v>
      </c>
      <c r="T19" s="176">
        <v>3298</v>
      </c>
      <c r="U19" s="176">
        <f>IF(Glasses!$K19-Glasses!$B19&gt;0,Glasses!$K19-Glasses!$B19,0)</f>
        <v>0</v>
      </c>
      <c r="V19" s="176">
        <v>3244</v>
      </c>
      <c r="W19" s="176">
        <v>0</v>
      </c>
      <c r="X19" s="176">
        <f t="shared" si="2"/>
        <v>3244</v>
      </c>
      <c r="Y19" s="176">
        <f>Table3[[#This Row],[new order ]]+Table3[[#This Row],[Stock q-ty jan 2020]]</f>
        <v>3298</v>
      </c>
      <c r="Z19" s="177">
        <v>0</v>
      </c>
      <c r="AA19" s="176">
        <f t="shared" si="8"/>
        <v>0</v>
      </c>
      <c r="AB19" s="219"/>
      <c r="AC19" s="176">
        <f>Table3[[#This Row],[old stock +new order]]</f>
        <v>3298</v>
      </c>
      <c r="AD19" s="176">
        <v>0</v>
      </c>
      <c r="AE19" s="203">
        <f t="shared" si="7"/>
        <v>3298</v>
      </c>
      <c r="AF19" s="40"/>
      <c r="AG19" s="196">
        <f t="shared" si="3"/>
        <v>0</v>
      </c>
      <c r="AH19" s="186">
        <f t="shared" si="4"/>
        <v>0</v>
      </c>
      <c r="AI19" s="197">
        <f t="shared" si="5"/>
        <v>0</v>
      </c>
      <c r="AJ19" s="212"/>
      <c r="AK19" s="187">
        <f t="shared" si="6"/>
        <v>0</v>
      </c>
      <c r="AL19" s="64">
        <f t="shared" si="0"/>
        <v>0</v>
      </c>
      <c r="AM19" s="188">
        <f t="shared" si="1"/>
        <v>0</v>
      </c>
      <c r="AN19" s="213"/>
      <c r="AP19" s="258">
        <f>Table3[[#This Row],[Total2]]-Table3[[#This Row],[old stock +new order]]</f>
        <v>0</v>
      </c>
      <c r="AQ19" s="260" t="s">
        <v>50</v>
      </c>
    </row>
    <row r="20" spans="1:43" x14ac:dyDescent="0.3">
      <c r="A20" s="95" t="s">
        <v>121</v>
      </c>
      <c r="B20" s="96"/>
      <c r="C20" s="96">
        <f>IF(Glasses!$K20-Glasses!$B20&gt;0,Glasses!$K20-Glasses!$B20,0)</f>
        <v>720</v>
      </c>
      <c r="D20" s="106">
        <v>0</v>
      </c>
      <c r="E20" s="105" t="s">
        <v>123</v>
      </c>
      <c r="F20" s="101">
        <v>0</v>
      </c>
      <c r="G20" s="96">
        <f>Glasses!$C20*Glasses!$F20</f>
        <v>0</v>
      </c>
      <c r="I20" s="101">
        <v>720</v>
      </c>
      <c r="J20" s="96"/>
      <c r="K20" s="96">
        <f>SUM(Glasses!$I20:$J20)</f>
        <v>720</v>
      </c>
      <c r="M20" s="101">
        <f>Glasses!$I20*Glasses!$F20</f>
        <v>0</v>
      </c>
      <c r="N20" s="96">
        <f>Glasses!$J20*Glasses!$F20</f>
        <v>0</v>
      </c>
      <c r="O20" s="96">
        <f>SUM(Glasses!$M20:$N20)</f>
        <v>0</v>
      </c>
      <c r="R20" s="157"/>
      <c r="S20" s="201" t="s">
        <v>121</v>
      </c>
      <c r="T20" s="176"/>
      <c r="U20" s="176">
        <f>IF(Glasses!$K20-Glasses!$B20&gt;0,Glasses!$K20-Glasses!$B20,0)</f>
        <v>720</v>
      </c>
      <c r="V20" s="176"/>
      <c r="W20" s="176">
        <v>0</v>
      </c>
      <c r="X20" s="176">
        <f t="shared" si="2"/>
        <v>0</v>
      </c>
      <c r="Y20" s="176">
        <f>Table3[[#This Row],[new order ]]+Table3[[#This Row],[Stock q-ty jan 2020]]</f>
        <v>0</v>
      </c>
      <c r="Z20" s="177">
        <v>0</v>
      </c>
      <c r="AA20" s="176">
        <f t="shared" si="8"/>
        <v>0</v>
      </c>
      <c r="AB20" s="219"/>
      <c r="AC20" s="176">
        <v>0</v>
      </c>
      <c r="AD20" s="176">
        <v>0</v>
      </c>
      <c r="AE20" s="203">
        <f t="shared" si="7"/>
        <v>0</v>
      </c>
      <c r="AF20" s="40"/>
      <c r="AG20" s="196">
        <f t="shared" si="3"/>
        <v>0</v>
      </c>
      <c r="AH20" s="186">
        <f t="shared" si="4"/>
        <v>0</v>
      </c>
      <c r="AI20" s="197">
        <f t="shared" si="5"/>
        <v>0</v>
      </c>
      <c r="AJ20" s="212"/>
      <c r="AK20" s="187">
        <f t="shared" si="6"/>
        <v>0</v>
      </c>
      <c r="AL20" s="64">
        <f t="shared" si="0"/>
        <v>0</v>
      </c>
      <c r="AM20" s="188">
        <f t="shared" si="1"/>
        <v>0</v>
      </c>
      <c r="AN20" s="213"/>
      <c r="AP20" s="258">
        <f>Table3[[#This Row],[Total2]]-Table3[[#This Row],[old stock +new order]]</f>
        <v>0</v>
      </c>
      <c r="AQ20" s="260" t="s">
        <v>121</v>
      </c>
    </row>
    <row r="21" spans="1:43" x14ac:dyDescent="0.3">
      <c r="A21" s="93" t="s">
        <v>51</v>
      </c>
      <c r="B21" s="94">
        <v>4584</v>
      </c>
      <c r="C21" s="94">
        <f>IF(Glasses!$K21-Glasses!$B21&gt;0,Glasses!$K21-Glasses!$B21,0)</f>
        <v>1316</v>
      </c>
      <c r="D21" s="107">
        <v>960</v>
      </c>
      <c r="E21" s="105" t="s">
        <v>130</v>
      </c>
      <c r="F21" s="100">
        <v>3</v>
      </c>
      <c r="G21" s="94">
        <f>Glasses!$C21*Glasses!$F21</f>
        <v>3948</v>
      </c>
      <c r="I21" s="100">
        <v>4900</v>
      </c>
      <c r="J21" s="94">
        <v>1000</v>
      </c>
      <c r="K21" s="94">
        <f>SUM(Glasses!$I21:$J21)</f>
        <v>5900</v>
      </c>
      <c r="M21" s="100">
        <f>Glasses!$I21*Glasses!$F21</f>
        <v>14700</v>
      </c>
      <c r="N21" s="94">
        <f>Glasses!$J21*Glasses!$F21</f>
        <v>3000</v>
      </c>
      <c r="O21" s="94">
        <f>SUM(Glasses!$M21:$N21)</f>
        <v>17700</v>
      </c>
      <c r="R21" s="157"/>
      <c r="S21" s="202" t="s">
        <v>51</v>
      </c>
      <c r="T21" s="178">
        <v>4584</v>
      </c>
      <c r="U21" s="178">
        <f>IF(Glasses!$K21-Glasses!$B21&gt;0,Glasses!$K21-Glasses!$B21,0)</f>
        <v>1316</v>
      </c>
      <c r="V21" s="178">
        <v>5184</v>
      </c>
      <c r="W21" s="178">
        <v>960</v>
      </c>
      <c r="X21" s="176">
        <f t="shared" si="2"/>
        <v>6144</v>
      </c>
      <c r="Y21" s="176">
        <f>Table3[[#This Row],[new order ]]+Table3[[#This Row],[Stock q-ty jan 2020]]</f>
        <v>5544</v>
      </c>
      <c r="Z21" s="179">
        <f>0.73*AA3</f>
        <v>2.6280000000000001</v>
      </c>
      <c r="AA21" s="176">
        <f t="shared" si="8"/>
        <v>2522.88</v>
      </c>
      <c r="AB21" s="219" t="s">
        <v>130</v>
      </c>
      <c r="AC21" s="178">
        <f>Y21*0.83</f>
        <v>4601.5199999999995</v>
      </c>
      <c r="AD21" s="178">
        <f>Y21*0.17</f>
        <v>942.48</v>
      </c>
      <c r="AE21" s="203">
        <f t="shared" si="7"/>
        <v>5544</v>
      </c>
      <c r="AF21" s="40"/>
      <c r="AG21" s="196">
        <f>AC21*Z21</f>
        <v>12092.794559999998</v>
      </c>
      <c r="AH21" s="186">
        <f t="shared" si="4"/>
        <v>2476.8374400000002</v>
      </c>
      <c r="AI21" s="197">
        <f t="shared" si="5"/>
        <v>14569.631999999998</v>
      </c>
      <c r="AJ21" s="212"/>
      <c r="AK21" s="187">
        <f t="shared" si="6"/>
        <v>376.99200000000002</v>
      </c>
      <c r="AL21" s="64">
        <f t="shared" si="0"/>
        <v>254.46960000000001</v>
      </c>
      <c r="AM21" s="188">
        <f t="shared" si="1"/>
        <v>311.01840000000004</v>
      </c>
      <c r="AN21" s="213"/>
      <c r="AP21" s="258">
        <f>Table3[[#This Row],[Total2]]-Table3[[#This Row],[old stock +new order]]</f>
        <v>0</v>
      </c>
      <c r="AQ21" s="261" t="s">
        <v>51</v>
      </c>
    </row>
    <row r="22" spans="1:43" x14ac:dyDescent="0.3">
      <c r="A22" s="95" t="s">
        <v>52</v>
      </c>
      <c r="B22" s="96">
        <v>4788</v>
      </c>
      <c r="C22" s="96">
        <f>IF(Glasses!$K22-Glasses!$B22&gt;0,Glasses!$K22-Glasses!$B22,0)</f>
        <v>0</v>
      </c>
      <c r="D22" s="106">
        <v>0</v>
      </c>
      <c r="E22" s="105"/>
      <c r="F22" s="101">
        <v>0</v>
      </c>
      <c r="G22" s="96">
        <f>Glasses!$C22*Glasses!$F22</f>
        <v>0</v>
      </c>
      <c r="I22" s="101"/>
      <c r="J22" s="96"/>
      <c r="K22" s="96">
        <f>SUM(Glasses!$I22:$J22)</f>
        <v>0</v>
      </c>
      <c r="M22" s="101">
        <f>Glasses!$I22*Glasses!$F22</f>
        <v>0</v>
      </c>
      <c r="N22" s="96">
        <f>Glasses!$J22*Glasses!$F22</f>
        <v>0</v>
      </c>
      <c r="O22" s="96">
        <f>SUM(Glasses!$M22:$N22)</f>
        <v>0</v>
      </c>
      <c r="R22" s="157"/>
      <c r="S22" s="201" t="s">
        <v>52</v>
      </c>
      <c r="T22" s="176">
        <v>4788</v>
      </c>
      <c r="U22" s="176">
        <f>IF(Glasses!$K22-Glasses!$B22&gt;0,Glasses!$K22-Glasses!$B22,0)</f>
        <v>0</v>
      </c>
      <c r="V22" s="176">
        <f>3336+3</f>
        <v>3339</v>
      </c>
      <c r="W22" s="176"/>
      <c r="X22" s="176">
        <f t="shared" si="2"/>
        <v>3339</v>
      </c>
      <c r="Y22" s="176">
        <f>Table3[[#This Row],[new order ]]+Table3[[#This Row],[Stock q-ty jan 2020]]</f>
        <v>4788</v>
      </c>
      <c r="Z22" s="177">
        <v>0</v>
      </c>
      <c r="AA22" s="176">
        <f>Glasses!$C22*Glasses!$F22</f>
        <v>0</v>
      </c>
      <c r="AB22" s="219"/>
      <c r="AC22" s="176">
        <v>0</v>
      </c>
      <c r="AD22" s="176">
        <v>0</v>
      </c>
      <c r="AE22" s="203">
        <f t="shared" si="7"/>
        <v>0</v>
      </c>
      <c r="AF22" s="40"/>
      <c r="AG22" s="196">
        <f t="shared" si="3"/>
        <v>0</v>
      </c>
      <c r="AH22" s="186">
        <f t="shared" si="4"/>
        <v>0</v>
      </c>
      <c r="AI22" s="197">
        <f t="shared" si="5"/>
        <v>0</v>
      </c>
      <c r="AJ22" s="212"/>
      <c r="AK22" s="187">
        <f t="shared" si="6"/>
        <v>0</v>
      </c>
      <c r="AL22" s="64">
        <f t="shared" si="0"/>
        <v>0</v>
      </c>
      <c r="AM22" s="188">
        <f t="shared" si="1"/>
        <v>0</v>
      </c>
      <c r="AN22" s="213"/>
      <c r="AP22" s="258">
        <f>Table3[[#This Row],[Total2]]-Table3[[#This Row],[old stock +new order]]</f>
        <v>-4788</v>
      </c>
      <c r="AQ22" s="260" t="s">
        <v>52</v>
      </c>
    </row>
    <row r="23" spans="1:43" x14ac:dyDescent="0.3">
      <c r="A23" s="93" t="s">
        <v>53</v>
      </c>
      <c r="B23" s="94">
        <v>960</v>
      </c>
      <c r="C23" s="94">
        <f>IF(Glasses!$K23-Glasses!$B23&gt;0,Glasses!$K23-Glasses!$B23,0)</f>
        <v>0</v>
      </c>
      <c r="D23" s="107">
        <v>0</v>
      </c>
      <c r="E23" s="105"/>
      <c r="F23" s="100">
        <v>0</v>
      </c>
      <c r="G23" s="94">
        <f>Glasses!$C23*Glasses!$F23</f>
        <v>0</v>
      </c>
      <c r="I23" s="100"/>
      <c r="J23" s="94"/>
      <c r="K23" s="94">
        <f>SUM(Glasses!$I23:$J23)</f>
        <v>0</v>
      </c>
      <c r="M23" s="100">
        <f>Glasses!$I23*Glasses!$F23</f>
        <v>0</v>
      </c>
      <c r="N23" s="94">
        <f>Glasses!$J23*Glasses!$F23</f>
        <v>0</v>
      </c>
      <c r="O23" s="94">
        <f>SUM(Glasses!$M23:$N23)</f>
        <v>0</v>
      </c>
      <c r="R23" s="157"/>
      <c r="S23" s="202" t="s">
        <v>53</v>
      </c>
      <c r="T23" s="178">
        <v>960</v>
      </c>
      <c r="U23" s="178">
        <f>IF(Glasses!$K23-Glasses!$B23&gt;0,Glasses!$K23-Glasses!$B23,0)</f>
        <v>0</v>
      </c>
      <c r="V23" s="178">
        <f>786+264</f>
        <v>1050</v>
      </c>
      <c r="W23" s="178">
        <v>0</v>
      </c>
      <c r="X23" s="176">
        <f t="shared" si="2"/>
        <v>1050</v>
      </c>
      <c r="Y23" s="176">
        <f>Table3[[#This Row],[new order ]]+Table3[[#This Row],[Stock q-ty jan 2020]]</f>
        <v>960</v>
      </c>
      <c r="Z23" s="179">
        <v>0</v>
      </c>
      <c r="AA23" s="178">
        <f>Glasses!$C23*Glasses!$F23</f>
        <v>0</v>
      </c>
      <c r="AB23" s="219"/>
      <c r="AC23" s="178">
        <v>0</v>
      </c>
      <c r="AD23" s="178">
        <v>0</v>
      </c>
      <c r="AE23" s="203">
        <f t="shared" si="7"/>
        <v>0</v>
      </c>
      <c r="AF23" s="40"/>
      <c r="AG23" s="196">
        <f t="shared" si="3"/>
        <v>0</v>
      </c>
      <c r="AH23" s="186">
        <f t="shared" si="4"/>
        <v>0</v>
      </c>
      <c r="AI23" s="197">
        <f t="shared" si="5"/>
        <v>0</v>
      </c>
      <c r="AJ23" s="212"/>
      <c r="AK23" s="187">
        <f t="shared" si="6"/>
        <v>0</v>
      </c>
      <c r="AL23" s="64">
        <f t="shared" si="0"/>
        <v>0</v>
      </c>
      <c r="AM23" s="188">
        <f t="shared" si="1"/>
        <v>0</v>
      </c>
      <c r="AN23" s="213"/>
      <c r="AP23" s="258">
        <f>Table3[[#This Row],[Total2]]-Table3[[#This Row],[old stock +new order]]</f>
        <v>-960</v>
      </c>
      <c r="AQ23" s="261" t="s">
        <v>53</v>
      </c>
    </row>
    <row r="24" spans="1:43" x14ac:dyDescent="0.3">
      <c r="A24" s="95" t="s">
        <v>54</v>
      </c>
      <c r="B24" s="96">
        <v>2256</v>
      </c>
      <c r="C24" s="96">
        <f>IF(Glasses!$K24-Glasses!$B24&gt;0,Glasses!$K24-Glasses!$B24,0)</f>
        <v>0</v>
      </c>
      <c r="D24" s="106">
        <v>0</v>
      </c>
      <c r="E24" s="105"/>
      <c r="F24" s="101">
        <v>0</v>
      </c>
      <c r="G24" s="96">
        <f>Glasses!$C24*Glasses!$F24</f>
        <v>0</v>
      </c>
      <c r="I24" s="101"/>
      <c r="J24" s="96"/>
      <c r="K24" s="96">
        <f>SUM(Glasses!$I24:$J24)</f>
        <v>0</v>
      </c>
      <c r="M24" s="101">
        <f>Glasses!$I24*Glasses!$F24</f>
        <v>0</v>
      </c>
      <c r="N24" s="96">
        <f>Glasses!$J24*Glasses!$F24</f>
        <v>0</v>
      </c>
      <c r="O24" s="96">
        <f>SUM(Glasses!$M24:$N24)</f>
        <v>0</v>
      </c>
      <c r="R24" s="157"/>
      <c r="S24" s="201" t="s">
        <v>54</v>
      </c>
      <c r="T24" s="176">
        <v>2256</v>
      </c>
      <c r="U24" s="176">
        <f>IF(Glasses!$K24-Glasses!$B24&gt;0,Glasses!$K24-Glasses!$B24,0)</f>
        <v>0</v>
      </c>
      <c r="V24" s="176">
        <v>2112</v>
      </c>
      <c r="W24" s="176">
        <v>0</v>
      </c>
      <c r="X24" s="176">
        <f t="shared" si="2"/>
        <v>2112</v>
      </c>
      <c r="Y24" s="176">
        <f>Table3[[#This Row],[new order ]]+Table3[[#This Row],[Stock q-ty jan 2020]]</f>
        <v>2256</v>
      </c>
      <c r="Z24" s="177">
        <v>0</v>
      </c>
      <c r="AA24" s="176">
        <f>Glasses!$C24*Glasses!$F24</f>
        <v>0</v>
      </c>
      <c r="AB24" s="219"/>
      <c r="AC24" s="176">
        <v>0</v>
      </c>
      <c r="AD24" s="176">
        <v>0</v>
      </c>
      <c r="AE24" s="203">
        <f t="shared" si="7"/>
        <v>0</v>
      </c>
      <c r="AF24" s="40"/>
      <c r="AG24" s="196">
        <f t="shared" si="3"/>
        <v>0</v>
      </c>
      <c r="AH24" s="186">
        <f t="shared" si="4"/>
        <v>0</v>
      </c>
      <c r="AI24" s="197">
        <f t="shared" si="5"/>
        <v>0</v>
      </c>
      <c r="AJ24" s="212"/>
      <c r="AK24" s="187">
        <f t="shared" si="6"/>
        <v>0</v>
      </c>
      <c r="AL24" s="64">
        <f t="shared" si="0"/>
        <v>0</v>
      </c>
      <c r="AM24" s="188">
        <f t="shared" si="1"/>
        <v>0</v>
      </c>
      <c r="AN24" s="213"/>
      <c r="AP24" s="258">
        <f>Table3[[#This Row],[Total2]]-Table3[[#This Row],[old stock +new order]]</f>
        <v>-2256</v>
      </c>
      <c r="AQ24" s="260" t="s">
        <v>54</v>
      </c>
    </row>
    <row r="25" spans="1:43" x14ac:dyDescent="0.3">
      <c r="A25" s="93" t="s">
        <v>55</v>
      </c>
      <c r="B25" s="94">
        <v>966</v>
      </c>
      <c r="C25" s="94">
        <f>IF(Glasses!$K25-Glasses!$B25&gt;0,Glasses!$K25-Glasses!$B25,0)</f>
        <v>0</v>
      </c>
      <c r="D25" s="107">
        <v>0</v>
      </c>
      <c r="E25" s="105"/>
      <c r="F25" s="100">
        <v>0</v>
      </c>
      <c r="G25" s="94">
        <f>Glasses!$C25*Glasses!$F25</f>
        <v>0</v>
      </c>
      <c r="I25" s="100"/>
      <c r="J25" s="94"/>
      <c r="K25" s="94">
        <f>SUM(Glasses!$I25:$J25)</f>
        <v>0</v>
      </c>
      <c r="M25" s="100">
        <f>Glasses!$I25*Glasses!$F25</f>
        <v>0</v>
      </c>
      <c r="N25" s="94">
        <f>Glasses!$J25*Glasses!$F25</f>
        <v>0</v>
      </c>
      <c r="O25" s="94">
        <f>SUM(Glasses!$M25:$N25)</f>
        <v>0</v>
      </c>
      <c r="R25" s="157"/>
      <c r="S25" s="202" t="s">
        <v>55</v>
      </c>
      <c r="T25" s="178">
        <v>966</v>
      </c>
      <c r="U25" s="178">
        <f>IF(Glasses!$K25-Glasses!$B25&gt;0,Glasses!$K25-Glasses!$B25,0)</f>
        <v>0</v>
      </c>
      <c r="V25" s="178">
        <v>870</v>
      </c>
      <c r="W25" s="178">
        <v>0</v>
      </c>
      <c r="X25" s="176">
        <f t="shared" si="2"/>
        <v>870</v>
      </c>
      <c r="Y25" s="176">
        <f>Table3[[#This Row],[new order ]]+Table3[[#This Row],[Stock q-ty jan 2020]]</f>
        <v>966</v>
      </c>
      <c r="Z25" s="179">
        <v>0</v>
      </c>
      <c r="AA25" s="178">
        <f>Glasses!$C25*Glasses!$F25</f>
        <v>0</v>
      </c>
      <c r="AB25" s="219"/>
      <c r="AC25" s="178">
        <v>0</v>
      </c>
      <c r="AD25" s="178">
        <v>0</v>
      </c>
      <c r="AE25" s="203">
        <f t="shared" si="7"/>
        <v>0</v>
      </c>
      <c r="AF25" s="40"/>
      <c r="AG25" s="196">
        <f t="shared" si="3"/>
        <v>0</v>
      </c>
      <c r="AH25" s="186">
        <f t="shared" si="4"/>
        <v>0</v>
      </c>
      <c r="AI25" s="197">
        <f t="shared" si="5"/>
        <v>0</v>
      </c>
      <c r="AJ25" s="212"/>
      <c r="AK25" s="187">
        <f t="shared" si="6"/>
        <v>0</v>
      </c>
      <c r="AL25" s="64">
        <f t="shared" si="0"/>
        <v>0</v>
      </c>
      <c r="AM25" s="188">
        <f t="shared" si="1"/>
        <v>0</v>
      </c>
      <c r="AN25" s="213"/>
      <c r="AP25" s="258">
        <f>Table3[[#This Row],[Total2]]-Table3[[#This Row],[old stock +new order]]</f>
        <v>-966</v>
      </c>
      <c r="AQ25" s="261" t="s">
        <v>55</v>
      </c>
    </row>
    <row r="26" spans="1:43" x14ac:dyDescent="0.3">
      <c r="A26" s="95" t="s">
        <v>56</v>
      </c>
      <c r="B26" s="96">
        <v>1623</v>
      </c>
      <c r="C26" s="96">
        <f>IF(Glasses!$K26-Glasses!$B26&gt;0,Glasses!$K26-Glasses!$B26,0)</f>
        <v>0</v>
      </c>
      <c r="D26" s="106">
        <v>0</v>
      </c>
      <c r="E26" s="105"/>
      <c r="F26" s="101">
        <v>0</v>
      </c>
      <c r="G26" s="96">
        <f>Glasses!$C26*Glasses!$F26</f>
        <v>0</v>
      </c>
      <c r="I26" s="101"/>
      <c r="J26" s="96"/>
      <c r="K26" s="96">
        <f>SUM(Glasses!$I26:$J26)</f>
        <v>0</v>
      </c>
      <c r="M26" s="101">
        <f>Glasses!$I26*Glasses!$F26</f>
        <v>0</v>
      </c>
      <c r="N26" s="96">
        <f>Glasses!$J26*Glasses!$F26</f>
        <v>0</v>
      </c>
      <c r="O26" s="96">
        <f>SUM(Glasses!$M26:$N26)</f>
        <v>0</v>
      </c>
      <c r="R26" s="157"/>
      <c r="S26" s="201" t="s">
        <v>56</v>
      </c>
      <c r="T26" s="176">
        <v>1623</v>
      </c>
      <c r="U26" s="176">
        <f>IF(Glasses!$K26-Glasses!$B26&gt;0,Glasses!$K26-Glasses!$B26,0)</f>
        <v>0</v>
      </c>
      <c r="V26" s="176">
        <v>1026</v>
      </c>
      <c r="W26" s="176">
        <v>0</v>
      </c>
      <c r="X26" s="176">
        <f t="shared" si="2"/>
        <v>1026</v>
      </c>
      <c r="Y26" s="176">
        <f>Table3[[#This Row],[new order ]]+Table3[[#This Row],[Stock q-ty jan 2020]]</f>
        <v>1623</v>
      </c>
      <c r="Z26" s="177">
        <v>0</v>
      </c>
      <c r="AA26" s="176">
        <f>Glasses!$C26*Glasses!$F26</f>
        <v>0</v>
      </c>
      <c r="AB26" s="219"/>
      <c r="AC26" s="176">
        <v>0</v>
      </c>
      <c r="AD26" s="176">
        <v>0</v>
      </c>
      <c r="AE26" s="203">
        <f t="shared" si="7"/>
        <v>0</v>
      </c>
      <c r="AF26" s="40"/>
      <c r="AG26" s="196">
        <f t="shared" si="3"/>
        <v>0</v>
      </c>
      <c r="AH26" s="186">
        <f t="shared" si="4"/>
        <v>0</v>
      </c>
      <c r="AI26" s="197">
        <f t="shared" si="5"/>
        <v>0</v>
      </c>
      <c r="AJ26" s="212"/>
      <c r="AK26" s="187">
        <f t="shared" si="6"/>
        <v>0</v>
      </c>
      <c r="AL26" s="64">
        <f t="shared" si="0"/>
        <v>0</v>
      </c>
      <c r="AM26" s="188">
        <f t="shared" si="1"/>
        <v>0</v>
      </c>
      <c r="AN26" s="213"/>
      <c r="AP26" s="258">
        <f>Table3[[#This Row],[Total2]]-Table3[[#This Row],[old stock +new order]]</f>
        <v>-1623</v>
      </c>
      <c r="AQ26" s="260" t="s">
        <v>56</v>
      </c>
    </row>
    <row r="27" spans="1:43" x14ac:dyDescent="0.3">
      <c r="A27" s="93" t="s">
        <v>57</v>
      </c>
      <c r="B27" s="94">
        <v>366</v>
      </c>
      <c r="C27" s="94">
        <f>IF(Glasses!$K27-Glasses!$B27&gt;0,Glasses!$K27-Glasses!$B27,0)</f>
        <v>0</v>
      </c>
      <c r="D27" s="107">
        <v>0</v>
      </c>
      <c r="E27" s="105"/>
      <c r="F27" s="100">
        <v>0</v>
      </c>
      <c r="G27" s="94">
        <f>Glasses!$C27*Glasses!$F27</f>
        <v>0</v>
      </c>
      <c r="I27" s="100"/>
      <c r="J27" s="94"/>
      <c r="K27" s="94">
        <f>SUM(Glasses!$I27:$J27)</f>
        <v>0</v>
      </c>
      <c r="M27" s="100">
        <f>Glasses!$I27*Glasses!$F27</f>
        <v>0</v>
      </c>
      <c r="N27" s="94">
        <f>Glasses!$J27*Glasses!$F27</f>
        <v>0</v>
      </c>
      <c r="O27" s="94">
        <f>SUM(Glasses!$M27:$N27)</f>
        <v>0</v>
      </c>
      <c r="R27" s="157"/>
      <c r="S27" s="202" t="s">
        <v>57</v>
      </c>
      <c r="T27" s="178">
        <v>366</v>
      </c>
      <c r="U27" s="178">
        <f>IF(Glasses!$K27-Glasses!$B27&gt;0,Glasses!$K27-Glasses!$B27,0)</f>
        <v>0</v>
      </c>
      <c r="V27" s="178">
        <v>216</v>
      </c>
      <c r="W27" s="178">
        <v>0</v>
      </c>
      <c r="X27" s="176">
        <f t="shared" si="2"/>
        <v>216</v>
      </c>
      <c r="Y27" s="176">
        <f>Table3[[#This Row],[new order ]]+Table3[[#This Row],[Stock q-ty jan 2020]]</f>
        <v>366</v>
      </c>
      <c r="Z27" s="179">
        <v>0</v>
      </c>
      <c r="AA27" s="178">
        <f>Glasses!$C27*Glasses!$F27</f>
        <v>0</v>
      </c>
      <c r="AB27" s="219"/>
      <c r="AC27" s="178">
        <v>0</v>
      </c>
      <c r="AD27" s="178">
        <v>0</v>
      </c>
      <c r="AE27" s="203">
        <f t="shared" si="7"/>
        <v>0</v>
      </c>
      <c r="AF27" s="40"/>
      <c r="AG27" s="196">
        <f t="shared" si="3"/>
        <v>0</v>
      </c>
      <c r="AH27" s="186">
        <f t="shared" si="4"/>
        <v>0</v>
      </c>
      <c r="AI27" s="197">
        <f t="shared" si="5"/>
        <v>0</v>
      </c>
      <c r="AJ27" s="212"/>
      <c r="AK27" s="187">
        <f t="shared" si="6"/>
        <v>0</v>
      </c>
      <c r="AL27" s="64">
        <f t="shared" si="0"/>
        <v>0</v>
      </c>
      <c r="AM27" s="188">
        <f t="shared" si="1"/>
        <v>0</v>
      </c>
      <c r="AN27" s="213"/>
      <c r="AP27" s="258">
        <f>Table3[[#This Row],[Total2]]-Table3[[#This Row],[old stock +new order]]</f>
        <v>-366</v>
      </c>
      <c r="AQ27" s="261" t="s">
        <v>57</v>
      </c>
    </row>
    <row r="28" spans="1:43" x14ac:dyDescent="0.3">
      <c r="A28" s="95" t="s">
        <v>58</v>
      </c>
      <c r="B28" s="96">
        <v>714</v>
      </c>
      <c r="C28" s="96">
        <f>IF(Glasses!$K28-Glasses!$B28&gt;0,Glasses!$K28-Glasses!$B28,0)</f>
        <v>0</v>
      </c>
      <c r="D28" s="106">
        <v>0</v>
      </c>
      <c r="E28" s="105"/>
      <c r="F28" s="101">
        <v>0</v>
      </c>
      <c r="G28" s="96">
        <f>Glasses!$C28*Glasses!$F28</f>
        <v>0</v>
      </c>
      <c r="I28" s="101"/>
      <c r="J28" s="96"/>
      <c r="K28" s="96">
        <f>SUM(Glasses!$I28:$J28)</f>
        <v>0</v>
      </c>
      <c r="M28" s="101">
        <f>Glasses!$I28*Glasses!$F28</f>
        <v>0</v>
      </c>
      <c r="N28" s="96">
        <f>Glasses!$J28*Glasses!$F28</f>
        <v>0</v>
      </c>
      <c r="O28" s="96">
        <f>SUM(Glasses!$M28:$N28)</f>
        <v>0</v>
      </c>
      <c r="R28" s="157"/>
      <c r="S28" s="201" t="s">
        <v>58</v>
      </c>
      <c r="T28" s="176">
        <v>714</v>
      </c>
      <c r="U28" s="176">
        <f>IF(Glasses!$K28-Glasses!$B28&gt;0,Glasses!$K28-Glasses!$B28,0)</f>
        <v>0</v>
      </c>
      <c r="V28" s="176">
        <v>504</v>
      </c>
      <c r="W28" s="176">
        <v>0</v>
      </c>
      <c r="X28" s="176">
        <f t="shared" si="2"/>
        <v>504</v>
      </c>
      <c r="Y28" s="176">
        <f>Table3[[#This Row],[new order ]]+Table3[[#This Row],[Stock q-ty jan 2020]]</f>
        <v>714</v>
      </c>
      <c r="Z28" s="177">
        <v>0</v>
      </c>
      <c r="AA28" s="176">
        <f>Glasses!$C28*Glasses!$F28</f>
        <v>0</v>
      </c>
      <c r="AB28" s="219"/>
      <c r="AC28" s="176">
        <v>0</v>
      </c>
      <c r="AD28" s="176">
        <v>0</v>
      </c>
      <c r="AE28" s="203">
        <f t="shared" si="7"/>
        <v>0</v>
      </c>
      <c r="AF28" s="40"/>
      <c r="AG28" s="196">
        <f t="shared" si="3"/>
        <v>0</v>
      </c>
      <c r="AH28" s="186">
        <f t="shared" si="4"/>
        <v>0</v>
      </c>
      <c r="AI28" s="197">
        <f t="shared" si="5"/>
        <v>0</v>
      </c>
      <c r="AJ28" s="212"/>
      <c r="AK28" s="187">
        <f t="shared" si="6"/>
        <v>0</v>
      </c>
      <c r="AL28" s="64">
        <f t="shared" si="0"/>
        <v>0</v>
      </c>
      <c r="AM28" s="188">
        <f t="shared" si="1"/>
        <v>0</v>
      </c>
      <c r="AN28" s="213"/>
      <c r="AP28" s="258">
        <f>Table3[[#This Row],[Total2]]-Table3[[#This Row],[old stock +new order]]</f>
        <v>-714</v>
      </c>
      <c r="AQ28" s="260" t="s">
        <v>58</v>
      </c>
    </row>
    <row r="29" spans="1:43" x14ac:dyDescent="0.3">
      <c r="A29" s="93" t="s">
        <v>59</v>
      </c>
      <c r="B29" s="94">
        <v>882</v>
      </c>
      <c r="C29" s="94">
        <f>IF(Glasses!$K29-Glasses!$B29&gt;0,Glasses!$K29-Glasses!$B29,0)</f>
        <v>0</v>
      </c>
      <c r="D29" s="107">
        <v>0</v>
      </c>
      <c r="E29" s="105"/>
      <c r="F29" s="100">
        <v>0</v>
      </c>
      <c r="G29" s="94">
        <f>Glasses!$C29*Glasses!$F29</f>
        <v>0</v>
      </c>
      <c r="I29" s="100"/>
      <c r="J29" s="94"/>
      <c r="K29" s="94">
        <f>SUM(Glasses!$I29:$J29)</f>
        <v>0</v>
      </c>
      <c r="M29" s="100">
        <f>Glasses!$I29*Glasses!$F29</f>
        <v>0</v>
      </c>
      <c r="N29" s="94">
        <f>Glasses!$J29*Glasses!$F29</f>
        <v>0</v>
      </c>
      <c r="O29" s="94">
        <f>SUM(Glasses!$M29:$N29)</f>
        <v>0</v>
      </c>
      <c r="R29" s="157"/>
      <c r="S29" s="202" t="s">
        <v>59</v>
      </c>
      <c r="T29" s="178">
        <v>882</v>
      </c>
      <c r="U29" s="178">
        <f>IF(Glasses!$K29-Glasses!$B29&gt;0,Glasses!$K29-Glasses!$B29,0)</f>
        <v>0</v>
      </c>
      <c r="V29" s="178">
        <v>48</v>
      </c>
      <c r="W29" s="178">
        <v>0</v>
      </c>
      <c r="X29" s="176">
        <f t="shared" si="2"/>
        <v>48</v>
      </c>
      <c r="Y29" s="176">
        <f>Table3[[#This Row],[new order ]]+Table3[[#This Row],[Stock q-ty jan 2020]]</f>
        <v>882</v>
      </c>
      <c r="Z29" s="179">
        <v>0</v>
      </c>
      <c r="AA29" s="178">
        <f>Glasses!$C29*Glasses!$F29</f>
        <v>0</v>
      </c>
      <c r="AB29" s="219"/>
      <c r="AC29" s="178">
        <v>0</v>
      </c>
      <c r="AD29" s="178">
        <v>0</v>
      </c>
      <c r="AE29" s="203">
        <f t="shared" si="7"/>
        <v>0</v>
      </c>
      <c r="AF29" s="40"/>
      <c r="AG29" s="196">
        <f t="shared" si="3"/>
        <v>0</v>
      </c>
      <c r="AH29" s="186">
        <f t="shared" si="4"/>
        <v>0</v>
      </c>
      <c r="AI29" s="197">
        <f t="shared" si="5"/>
        <v>0</v>
      </c>
      <c r="AJ29" s="212"/>
      <c r="AK29" s="187">
        <f t="shared" si="6"/>
        <v>0</v>
      </c>
      <c r="AL29" s="64">
        <f t="shared" si="0"/>
        <v>0</v>
      </c>
      <c r="AM29" s="188">
        <f t="shared" si="1"/>
        <v>0</v>
      </c>
      <c r="AN29" s="213"/>
      <c r="AP29" s="258">
        <f>Table3[[#This Row],[Total2]]-Table3[[#This Row],[old stock +new order]]</f>
        <v>-882</v>
      </c>
      <c r="AQ29" s="261" t="s">
        <v>59</v>
      </c>
    </row>
    <row r="30" spans="1:43" x14ac:dyDescent="0.3">
      <c r="A30" s="95" t="s">
        <v>60</v>
      </c>
      <c r="B30" s="96">
        <v>2292</v>
      </c>
      <c r="C30" s="96">
        <f>IF(Glasses!$K30-Glasses!$B30&gt;0,Glasses!$K30-Glasses!$B30,0)</f>
        <v>0</v>
      </c>
      <c r="D30" s="106">
        <v>0</v>
      </c>
      <c r="E30" s="105"/>
      <c r="F30" s="101">
        <v>0</v>
      </c>
      <c r="G30" s="96">
        <f>Glasses!$C30*Glasses!$F30</f>
        <v>0</v>
      </c>
      <c r="I30" s="101"/>
      <c r="J30" s="96"/>
      <c r="K30" s="96">
        <f>SUM(Glasses!$I30:$J30)</f>
        <v>0</v>
      </c>
      <c r="M30" s="101">
        <f>Glasses!$I30*Glasses!$F30</f>
        <v>0</v>
      </c>
      <c r="N30" s="96">
        <f>Glasses!$J30*Glasses!$F30</f>
        <v>0</v>
      </c>
      <c r="O30" s="96">
        <f>SUM(Glasses!$M30:$N30)</f>
        <v>0</v>
      </c>
      <c r="R30" s="157"/>
      <c r="S30" s="201" t="s">
        <v>60</v>
      </c>
      <c r="T30" s="176">
        <v>2292</v>
      </c>
      <c r="U30" s="176">
        <f>IF(Glasses!$K30-Glasses!$B30&gt;0,Glasses!$K30-Glasses!$B30,0)</f>
        <v>0</v>
      </c>
      <c r="V30" s="176">
        <f>2076+84</f>
        <v>2160</v>
      </c>
      <c r="W30" s="176">
        <v>0</v>
      </c>
      <c r="X30" s="176">
        <f t="shared" si="2"/>
        <v>2160</v>
      </c>
      <c r="Y30" s="176">
        <f>Table3[[#This Row],[new order ]]+Table3[[#This Row],[Stock q-ty jan 2020]]</f>
        <v>2292</v>
      </c>
      <c r="Z30" s="177">
        <v>0</v>
      </c>
      <c r="AA30" s="176">
        <f>Glasses!$C30*Glasses!$F30</f>
        <v>0</v>
      </c>
      <c r="AB30" s="219"/>
      <c r="AC30" s="176">
        <v>0</v>
      </c>
      <c r="AD30" s="176">
        <v>0</v>
      </c>
      <c r="AE30" s="203">
        <f t="shared" si="7"/>
        <v>0</v>
      </c>
      <c r="AF30" s="40"/>
      <c r="AG30" s="196">
        <f t="shared" si="3"/>
        <v>0</v>
      </c>
      <c r="AH30" s="186">
        <f t="shared" si="4"/>
        <v>0</v>
      </c>
      <c r="AI30" s="197">
        <f t="shared" si="5"/>
        <v>0</v>
      </c>
      <c r="AJ30" s="212"/>
      <c r="AK30" s="187">
        <f t="shared" si="6"/>
        <v>0</v>
      </c>
      <c r="AL30" s="64">
        <f t="shared" si="0"/>
        <v>0</v>
      </c>
      <c r="AM30" s="188">
        <f t="shared" si="1"/>
        <v>0</v>
      </c>
      <c r="AN30" s="213"/>
      <c r="AP30" s="258">
        <f>Table3[[#This Row],[Total2]]-Table3[[#This Row],[old stock +new order]]</f>
        <v>-2292</v>
      </c>
      <c r="AQ30" s="260" t="s">
        <v>60</v>
      </c>
    </row>
    <row r="31" spans="1:43" x14ac:dyDescent="0.3">
      <c r="A31" s="93" t="s">
        <v>61</v>
      </c>
      <c r="B31" s="94">
        <v>921</v>
      </c>
      <c r="C31" s="94">
        <f>IF(Glasses!$K31-Glasses!$B31&gt;0,Glasses!$K31-Glasses!$B31,0)</f>
        <v>0</v>
      </c>
      <c r="D31" s="107">
        <v>0</v>
      </c>
      <c r="E31" s="105"/>
      <c r="F31" s="100">
        <v>0</v>
      </c>
      <c r="G31" s="94">
        <f>Glasses!$C31*Glasses!$F31</f>
        <v>0</v>
      </c>
      <c r="I31" s="100"/>
      <c r="J31" s="94"/>
      <c r="K31" s="94">
        <f>SUM(Glasses!$I31:$J31)</f>
        <v>0</v>
      </c>
      <c r="M31" s="100">
        <f>Glasses!$I31*Glasses!$F31</f>
        <v>0</v>
      </c>
      <c r="N31" s="94">
        <f>Glasses!$J31*Glasses!$F31</f>
        <v>0</v>
      </c>
      <c r="O31" s="94">
        <f>SUM(Glasses!$M31:$N31)</f>
        <v>0</v>
      </c>
      <c r="R31" s="157"/>
      <c r="S31" s="202" t="s">
        <v>61</v>
      </c>
      <c r="T31" s="178">
        <v>921</v>
      </c>
      <c r="U31" s="178">
        <f>IF(Glasses!$K31-Glasses!$B31&gt;0,Glasses!$K31-Glasses!$B31,0)</f>
        <v>0</v>
      </c>
      <c r="V31" s="178">
        <v>873</v>
      </c>
      <c r="W31" s="178">
        <v>0</v>
      </c>
      <c r="X31" s="176">
        <f t="shared" si="2"/>
        <v>873</v>
      </c>
      <c r="Y31" s="176">
        <f>Table3[[#This Row],[new order ]]+Table3[[#This Row],[Stock q-ty jan 2020]]</f>
        <v>921</v>
      </c>
      <c r="Z31" s="179">
        <v>0</v>
      </c>
      <c r="AA31" s="178">
        <f>Glasses!$C31*Glasses!$F31</f>
        <v>0</v>
      </c>
      <c r="AB31" s="219"/>
      <c r="AC31" s="178">
        <v>0</v>
      </c>
      <c r="AD31" s="178">
        <v>0</v>
      </c>
      <c r="AE31" s="203">
        <f t="shared" si="7"/>
        <v>0</v>
      </c>
      <c r="AF31" s="40"/>
      <c r="AG31" s="196">
        <f t="shared" si="3"/>
        <v>0</v>
      </c>
      <c r="AH31" s="186">
        <f t="shared" si="4"/>
        <v>0</v>
      </c>
      <c r="AI31" s="197">
        <f t="shared" si="5"/>
        <v>0</v>
      </c>
      <c r="AJ31" s="212"/>
      <c r="AK31" s="187">
        <f t="shared" si="6"/>
        <v>0</v>
      </c>
      <c r="AL31" s="64">
        <f t="shared" si="0"/>
        <v>0</v>
      </c>
      <c r="AM31" s="188">
        <f t="shared" si="1"/>
        <v>0</v>
      </c>
      <c r="AN31" s="213"/>
      <c r="AP31" s="258">
        <f>Table3[[#This Row],[Total2]]-Table3[[#This Row],[old stock +new order]]</f>
        <v>-921</v>
      </c>
      <c r="AQ31" s="261" t="s">
        <v>61</v>
      </c>
    </row>
    <row r="32" spans="1:43" ht="15" thickBot="1" x14ac:dyDescent="0.35">
      <c r="A32" s="95" t="s">
        <v>62</v>
      </c>
      <c r="B32" s="96">
        <v>11988</v>
      </c>
      <c r="C32" s="96">
        <f>IF(Glasses!$K32-Glasses!$B32&gt;0,Glasses!$K32-Glasses!$B32,0)</f>
        <v>0</v>
      </c>
      <c r="D32" s="106">
        <v>0</v>
      </c>
      <c r="E32" s="105"/>
      <c r="F32" s="101">
        <v>0</v>
      </c>
      <c r="G32" s="96">
        <f>Glasses!$C32*Glasses!$F32</f>
        <v>0</v>
      </c>
      <c r="I32" s="101"/>
      <c r="J32" s="96"/>
      <c r="K32" s="96">
        <f>SUM(Glasses!$I32:$J32)</f>
        <v>0</v>
      </c>
      <c r="M32" s="101"/>
      <c r="N32" s="96">
        <f>Glasses!$J32*Glasses!$F32</f>
        <v>0</v>
      </c>
      <c r="O32" s="96">
        <f>SUM(Glasses!$M32:$N32)</f>
        <v>0</v>
      </c>
      <c r="R32" s="157"/>
      <c r="S32" s="201" t="s">
        <v>62</v>
      </c>
      <c r="T32" s="176">
        <v>11988</v>
      </c>
      <c r="U32" s="176">
        <f>IF(Glasses!$K32-Glasses!$B32&gt;0,Glasses!$K32-Glasses!$B32,0)</f>
        <v>0</v>
      </c>
      <c r="V32" s="176">
        <f>4644+3066</f>
        <v>7710</v>
      </c>
      <c r="W32" s="176">
        <v>0</v>
      </c>
      <c r="X32" s="176">
        <f t="shared" si="2"/>
        <v>7710</v>
      </c>
      <c r="Y32" s="176">
        <f>Table3[[#This Row],[new order ]]+Table3[[#This Row],[Stock q-ty jan 2020]]</f>
        <v>11988</v>
      </c>
      <c r="Z32" s="177">
        <v>0</v>
      </c>
      <c r="AA32" s="176">
        <f>Glasses!$C32*Glasses!$F32</f>
        <v>0</v>
      </c>
      <c r="AB32" s="219"/>
      <c r="AC32" s="176">
        <f>Table3[[#This Row],[Stock q-ty jan 2020]]</f>
        <v>11988</v>
      </c>
      <c r="AD32" s="176">
        <v>0</v>
      </c>
      <c r="AE32" s="203">
        <f t="shared" si="7"/>
        <v>11988</v>
      </c>
      <c r="AF32" s="40"/>
      <c r="AG32" s="196">
        <f t="shared" si="3"/>
        <v>0</v>
      </c>
      <c r="AH32" s="186">
        <f t="shared" si="4"/>
        <v>0</v>
      </c>
      <c r="AI32" s="197">
        <f t="shared" si="5"/>
        <v>0</v>
      </c>
      <c r="AJ32" s="212"/>
      <c r="AK32" s="187">
        <f t="shared" si="6"/>
        <v>0</v>
      </c>
      <c r="AL32" s="64">
        <f t="shared" si="0"/>
        <v>0</v>
      </c>
      <c r="AM32" s="188">
        <f t="shared" si="1"/>
        <v>0</v>
      </c>
      <c r="AN32" s="213"/>
      <c r="AP32" s="258">
        <f>Table3[[#This Row],[Total2]]-Table3[[#This Row],[old stock +new order]]</f>
        <v>0</v>
      </c>
      <c r="AQ32" s="260" t="s">
        <v>62</v>
      </c>
    </row>
    <row r="33" spans="1:43" ht="15.6" thickTop="1" thickBot="1" x14ac:dyDescent="0.35">
      <c r="A33" s="97" t="s">
        <v>33</v>
      </c>
      <c r="B33" s="88">
        <f>SUBTOTAL(109,Glasses!$B$5:$B$32)</f>
        <v>98061</v>
      </c>
      <c r="C33" s="88">
        <f>SUBTOTAL(109,Glasses!$C$5:$C$32)</f>
        <v>71757</v>
      </c>
      <c r="D33" s="108"/>
      <c r="F33" s="102" t="s">
        <v>33</v>
      </c>
      <c r="G33" s="88">
        <f>SUBTOTAL(109,Glasses!$G$5:$G$32)</f>
        <v>169330.99200000003</v>
      </c>
      <c r="I33" s="103">
        <f>SUBTOTAL(109,Glasses!$I$5:$I$32)</f>
        <v>86420</v>
      </c>
      <c r="J33" s="88">
        <f>SUBTOTAL(109,Glasses!$J$5:$J$32)</f>
        <v>45892</v>
      </c>
      <c r="K33" s="88">
        <f>SUBTOTAL(109,Glasses!$K$5:$K$32)</f>
        <v>132312</v>
      </c>
      <c r="M33" s="103">
        <f>SUBTOTAL(109,Glasses!$M$5:$M$32)</f>
        <v>217106.40000000002</v>
      </c>
      <c r="N33" s="88">
        <f>SUBTOTAL(109,Glasses!$N$5:$N$32)</f>
        <v>105610.368</v>
      </c>
      <c r="O33" s="88">
        <f>SUBTOTAL(109,Glasses!$O$5:$O$32)</f>
        <v>322716.76800000004</v>
      </c>
      <c r="R33" s="157"/>
      <c r="S33" s="207" t="s">
        <v>33</v>
      </c>
      <c r="T33" s="208">
        <f>SUBTOTAL(109,Glasses!$B$5:$B$32)</f>
        <v>98061</v>
      </c>
      <c r="U33" s="209">
        <f>SUBTOTAL(109,Glasses!$C$5:$C$32)</f>
        <v>71757</v>
      </c>
      <c r="V33" s="209"/>
      <c r="W33" s="209"/>
      <c r="X33" s="209"/>
      <c r="Y33" s="209">
        <f>SUBTOTAL(109,Y5:Y32)</f>
        <v>184081</v>
      </c>
      <c r="Z33" s="210" t="s">
        <v>33</v>
      </c>
      <c r="AA33" s="208">
        <f>SUM(AA5:AA32)</f>
        <v>228159.36000000002</v>
      </c>
      <c r="AB33" s="208"/>
      <c r="AC33" s="208">
        <f>SUBTOTAL(109,AC5:AC32)</f>
        <v>96772.264899999995</v>
      </c>
      <c r="AD33" s="208">
        <f>SUBTOTAL(109,AD5:AD32)</f>
        <v>44197.916700000002</v>
      </c>
      <c r="AE33" s="208">
        <f>SUBTOTAL(109,AE5:AE32)</f>
        <v>140970.18160000001</v>
      </c>
      <c r="AF33" s="212"/>
      <c r="AG33" s="208">
        <f>AG5+AG8+AG12+AG13+AG14+AG17+AG18+AG21</f>
        <v>202868.18707680001</v>
      </c>
      <c r="AH33" s="208">
        <f>AH5+AH8+AH12+AH13+AH14+AH17+AH18+AH21</f>
        <v>104663.92040280002</v>
      </c>
      <c r="AI33" s="208">
        <f>AI5+AI8+AI12+AI13+AI14+AI17+AI18+AI21</f>
        <v>307532.1074796</v>
      </c>
      <c r="AJ33" s="212"/>
      <c r="AK33" s="192">
        <f>Table3[[#This Row],[ Sales q-ty]]*AK2</f>
        <v>17679.166680000002</v>
      </c>
      <c r="AL33" s="193">
        <f>Table3[[#This Row],[ Sales q-ty]]*AL2</f>
        <v>11933.437509000001</v>
      </c>
      <c r="AM33" s="194">
        <f>Table3[[#This Row],[ Sales q-ty]]*AM2</f>
        <v>14585.312511000002</v>
      </c>
      <c r="AN33" s="214">
        <f>SUM(AK33:AM33)</f>
        <v>44197.916700000009</v>
      </c>
      <c r="AQ33" s="262" t="s">
        <v>33</v>
      </c>
    </row>
    <row r="34" spans="1:43" ht="15" thickBot="1" x14ac:dyDescent="0.35">
      <c r="I34">
        <f>I21/$K$21</f>
        <v>0.83050847457627119</v>
      </c>
      <c r="J34">
        <f>J21/$K$21</f>
        <v>0.16949152542372881</v>
      </c>
      <c r="K34">
        <f>K12/$K$12</f>
        <v>1</v>
      </c>
      <c r="R34" s="170"/>
      <c r="S34" s="171"/>
      <c r="T34" s="171"/>
      <c r="U34" s="171"/>
      <c r="V34" s="171"/>
      <c r="W34" s="171"/>
      <c r="X34" s="171"/>
      <c r="Y34" s="171"/>
      <c r="Z34" s="171"/>
      <c r="AA34" s="215"/>
      <c r="AB34" s="171"/>
      <c r="AC34" s="171"/>
      <c r="AD34" s="171"/>
      <c r="AE34" s="171"/>
      <c r="AF34" s="171"/>
      <c r="AG34" s="216"/>
      <c r="AH34" s="217"/>
      <c r="AI34" s="218">
        <f>AI33-AA33</f>
        <v>79372.747479599988</v>
      </c>
      <c r="AJ34" s="171"/>
      <c r="AK34" s="171"/>
      <c r="AL34" s="171"/>
      <c r="AM34" s="171"/>
      <c r="AN34" s="172"/>
    </row>
    <row r="35" spans="1:43" x14ac:dyDescent="0.3">
      <c r="O35" s="28">
        <f>Glasses!$O$33-Glasses!$G$33</f>
        <v>153385.77600000001</v>
      </c>
      <c r="P35" s="28"/>
      <c r="Q35" s="28"/>
      <c r="V35" s="28"/>
    </row>
    <row r="36" spans="1:43" x14ac:dyDescent="0.3">
      <c r="Y36" s="28"/>
      <c r="AC36" s="26">
        <f>AC33/AE33</f>
        <v>0.68647329386713363</v>
      </c>
      <c r="AD36" s="26">
        <f>AD33/AE33</f>
        <v>0.31352670613286632</v>
      </c>
    </row>
    <row r="37" spans="1:43" x14ac:dyDescent="0.3">
      <c r="C37">
        <f>B22*F22</f>
        <v>0</v>
      </c>
    </row>
    <row r="38" spans="1:43" x14ac:dyDescent="0.3">
      <c r="C38">
        <f t="shared" ref="C38:C47" si="9">B23*F23</f>
        <v>0</v>
      </c>
    </row>
    <row r="39" spans="1:43" x14ac:dyDescent="0.3">
      <c r="C39">
        <f t="shared" si="9"/>
        <v>0</v>
      </c>
    </row>
    <row r="40" spans="1:43" x14ac:dyDescent="0.3">
      <c r="C40">
        <f t="shared" si="9"/>
        <v>0</v>
      </c>
    </row>
    <row r="41" spans="1:43" x14ac:dyDescent="0.3">
      <c r="C41">
        <f t="shared" si="9"/>
        <v>0</v>
      </c>
    </row>
    <row r="42" spans="1:43" x14ac:dyDescent="0.3">
      <c r="C42">
        <f t="shared" si="9"/>
        <v>0</v>
      </c>
    </row>
    <row r="43" spans="1:43" x14ac:dyDescent="0.3">
      <c r="C43">
        <f t="shared" si="9"/>
        <v>0</v>
      </c>
    </row>
    <row r="44" spans="1:43" x14ac:dyDescent="0.3">
      <c r="C44">
        <f t="shared" si="9"/>
        <v>0</v>
      </c>
    </row>
    <row r="45" spans="1:43" x14ac:dyDescent="0.3">
      <c r="C45">
        <f t="shared" si="9"/>
        <v>0</v>
      </c>
    </row>
    <row r="46" spans="1:43" x14ac:dyDescent="0.3">
      <c r="C46">
        <f t="shared" si="9"/>
        <v>0</v>
      </c>
    </row>
    <row r="47" spans="1:43" x14ac:dyDescent="0.3">
      <c r="C47">
        <f t="shared" si="9"/>
        <v>0</v>
      </c>
    </row>
    <row r="48" spans="1:43" x14ac:dyDescent="0.3">
      <c r="C48">
        <f>SUM(C37:C47)</f>
        <v>0</v>
      </c>
    </row>
  </sheetData>
  <autoFilter ref="AP1:AP48" xr:uid="{983B1C8B-3DFB-4CC1-8871-66C2A91D0944}"/>
  <mergeCells count="1">
    <mergeCell ref="V3:W3"/>
  </mergeCells>
  <phoneticPr fontId="13" type="noConversion"/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Spare Parts</vt:lpstr>
      <vt:lpstr>Tower</vt:lpstr>
      <vt:lpstr>Table parasol trade</vt:lpstr>
      <vt:lpstr>Glasses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UNAPKOSHVILI</dc:creator>
  <cp:lastModifiedBy>TEKLA NOZADZE</cp:lastModifiedBy>
  <dcterms:created xsi:type="dcterms:W3CDTF">2019-11-20T11:52:30Z</dcterms:created>
  <dcterms:modified xsi:type="dcterms:W3CDTF">2020-12-02T11:20:29Z</dcterms:modified>
</cp:coreProperties>
</file>